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burnabyca.sharepoint.com/sites/HIVE-PlanningDevelopment/FinanceProjects/CBB/"/>
    </mc:Choice>
  </mc:AlternateContent>
  <xr:revisionPtr revIDLastSave="161" documentId="13_ncr:1_{134145D1-2B22-43B0-AA81-EB4AD52A6310}" xr6:coauthVersionLast="47" xr6:coauthVersionMax="47" xr10:uidLastSave="{B9D7584D-DCEA-4E89-AF64-5585A406E10C}"/>
  <bookViews>
    <workbookView xWindow="-28920" yWindow="-60" windowWidth="29040" windowHeight="15720" firstSheet="1" activeTab="1" xr2:uid="{EEC8764A-B18D-4781-83F3-A68AF96D63ED}"/>
  </bookViews>
  <sheets>
    <sheet name="Sq ft vs Sq m" sheetId="20" state="hidden" r:id="rId1"/>
    <sheet name="Disclaimer" sheetId="23" r:id="rId2"/>
    <sheet name="User Guide" sheetId="21" r:id="rId3"/>
    <sheet name="Calculator" sheetId="5" r:id="rId4"/>
    <sheet name="Reverse" sheetId="18" state="hidden" r:id="rId5"/>
    <sheet name="Data Validation" sheetId="3" state="hidden" r:id="rId6"/>
    <sheet name="breakeven" sheetId="15" state="hidden" r:id="rId7"/>
    <sheet name="Rates" sheetId="2" state="hidden" r:id="rId8"/>
  </sheets>
  <definedNames>
    <definedName name="_xlnm.Print_Area" localSheetId="3">Calculator!$B$1:$I$66</definedName>
    <definedName name="_xlnm.Print_Area" localSheetId="4">Reverse!$B$1:$I$44</definedName>
    <definedName name="_xlnm.Print_Area" localSheetId="0">'Sq ft vs Sq m'!$B$1:$I$66</definedName>
  </definedNames>
  <calcPr calcId="191029"/>
  <pivotCaches>
    <pivotCache cacheId="4"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8" l="1"/>
  <c r="H29" i="18"/>
  <c r="G30" i="18"/>
  <c r="G29" i="18"/>
  <c r="D30" i="18"/>
  <c r="D29" i="18"/>
  <c r="E30" i="18" a="1"/>
  <c r="E30" i="18" s="1"/>
  <c r="H30" i="18" s="1"/>
  <c r="C35" i="18" s="1"/>
  <c r="E29" i="18"/>
  <c r="C29" i="18"/>
  <c r="G10" i="18"/>
  <c r="G12" i="18"/>
  <c r="M19" i="15" l="1"/>
  <c r="E30" i="5"/>
  <c r="N14" i="20"/>
  <c r="N30" i="20" s="1"/>
  <c r="N64" i="20" a="1"/>
  <c r="N64" i="20" s="1"/>
  <c r="N29" i="20"/>
  <c r="L30" i="20" a="1"/>
  <c r="L30" i="20" s="1"/>
  <c r="N32" i="20"/>
  <c r="L33" i="20" a="1"/>
  <c r="L33" i="20" s="1"/>
  <c r="Q33" i="20" s="1"/>
  <c r="N33" i="20"/>
  <c r="L42" i="20"/>
  <c r="Q42" i="20" s="1"/>
  <c r="N46" i="20"/>
  <c r="Q46" i="20"/>
  <c r="L51" i="20" s="1"/>
  <c r="N47" i="20"/>
  <c r="N52" i="20"/>
  <c r="L58" i="20"/>
  <c r="N58" i="20"/>
  <c r="N63" i="20"/>
  <c r="Q63" i="20"/>
  <c r="E64" i="20" a="1"/>
  <c r="E64" i="20" s="1"/>
  <c r="H63" i="20"/>
  <c r="E63" i="20"/>
  <c r="E58" i="20"/>
  <c r="C58" i="20"/>
  <c r="E52" i="20"/>
  <c r="E47" i="20"/>
  <c r="H46" i="20"/>
  <c r="C51" i="20" s="1"/>
  <c r="E46" i="20"/>
  <c r="C42" i="20"/>
  <c r="H42" i="20" s="1"/>
  <c r="C47" i="20" s="1"/>
  <c r="H47" i="20" s="1"/>
  <c r="C52" i="20" s="1"/>
  <c r="E33" i="20"/>
  <c r="C33" i="20" a="1"/>
  <c r="C33" i="20" s="1"/>
  <c r="H33" i="20" s="1"/>
  <c r="E32" i="20"/>
  <c r="E30" i="20"/>
  <c r="C30" i="20" a="1"/>
  <c r="C30" i="20" s="1"/>
  <c r="E29" i="20"/>
  <c r="E62" i="18" a="1"/>
  <c r="E62" i="18" s="1"/>
  <c r="C42" i="5"/>
  <c r="H42" i="5" s="1"/>
  <c r="H61" i="18"/>
  <c r="E32" i="5"/>
  <c r="E29" i="5"/>
  <c r="H58" i="18"/>
  <c r="C21" i="18"/>
  <c r="G64" i="18"/>
  <c r="H63" i="5"/>
  <c r="C20" i="18"/>
  <c r="E34" i="18"/>
  <c r="H34" i="18"/>
  <c r="E42" i="18"/>
  <c r="C46" i="18"/>
  <c r="H41" i="18" s="1"/>
  <c r="E46" i="18"/>
  <c r="E47" i="18"/>
  <c r="E59" i="18" a="1"/>
  <c r="E59" i="18" s="1"/>
  <c r="E33" i="5"/>
  <c r="C33" i="5" a="1"/>
  <c r="C33" i="5" s="1"/>
  <c r="E52" i="5"/>
  <c r="C30" i="5" a="1"/>
  <c r="C30" i="5" s="1"/>
  <c r="H5" i="15"/>
  <c r="H6" i="15"/>
  <c r="H7" i="15"/>
  <c r="H8" i="15"/>
  <c r="H9" i="15"/>
  <c r="H10" i="15"/>
  <c r="H11" i="15"/>
  <c r="H12" i="15"/>
  <c r="H13" i="15"/>
  <c r="H14" i="15"/>
  <c r="H15" i="15"/>
  <c r="H16" i="15"/>
  <c r="H17" i="15"/>
  <c r="H18" i="15"/>
  <c r="H19" i="15"/>
  <c r="H20" i="15"/>
  <c r="H21" i="15"/>
  <c r="H22" i="15"/>
  <c r="H23" i="15"/>
  <c r="H24" i="15"/>
  <c r="H25" i="15"/>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4" i="15"/>
  <c r="I51" i="15"/>
  <c r="I50" i="15"/>
  <c r="I37" i="15"/>
  <c r="I24" i="15"/>
  <c r="I23" i="15"/>
  <c r="I20" i="15"/>
  <c r="I8" i="15"/>
  <c r="I7" i="15"/>
  <c r="I6" i="15"/>
  <c r="F5" i="15"/>
  <c r="I5" i="15" s="1"/>
  <c r="F6" i="15"/>
  <c r="F7" i="15"/>
  <c r="F8" i="15"/>
  <c r="F9" i="15"/>
  <c r="I9" i="15" s="1"/>
  <c r="F10" i="15"/>
  <c r="I10" i="15" s="1"/>
  <c r="F11" i="15"/>
  <c r="I11" i="15" s="1"/>
  <c r="F12" i="15"/>
  <c r="I12" i="15" s="1"/>
  <c r="F13" i="15"/>
  <c r="I13" i="15" s="1"/>
  <c r="F14" i="15"/>
  <c r="I14" i="15" s="1"/>
  <c r="F15" i="15"/>
  <c r="I15" i="15" s="1"/>
  <c r="F16" i="15"/>
  <c r="I16" i="15" s="1"/>
  <c r="F17" i="15"/>
  <c r="I17" i="15" s="1"/>
  <c r="F18" i="15"/>
  <c r="I18" i="15" s="1"/>
  <c r="F19" i="15"/>
  <c r="I19" i="15" s="1"/>
  <c r="F20" i="15"/>
  <c r="F21" i="15"/>
  <c r="I21" i="15" s="1"/>
  <c r="F22" i="15"/>
  <c r="I22" i="15" s="1"/>
  <c r="F23" i="15"/>
  <c r="F24" i="15"/>
  <c r="F25" i="15"/>
  <c r="I25" i="15" s="1"/>
  <c r="F26" i="15"/>
  <c r="I26" i="15" s="1"/>
  <c r="F27" i="15"/>
  <c r="I27" i="15" s="1"/>
  <c r="F29" i="15"/>
  <c r="I29" i="15" s="1"/>
  <c r="F30" i="15"/>
  <c r="I30" i="15" s="1"/>
  <c r="F31" i="15"/>
  <c r="I31" i="15" s="1"/>
  <c r="F32" i="15"/>
  <c r="I32" i="15" s="1"/>
  <c r="F33" i="15"/>
  <c r="I33" i="15" s="1"/>
  <c r="F34" i="15"/>
  <c r="I34" i="15" s="1"/>
  <c r="F35" i="15"/>
  <c r="I35" i="15" s="1"/>
  <c r="F36" i="15"/>
  <c r="I36" i="15" s="1"/>
  <c r="F37" i="15"/>
  <c r="F38" i="15"/>
  <c r="I38" i="15" s="1"/>
  <c r="F39" i="15"/>
  <c r="I39" i="15" s="1"/>
  <c r="F40" i="15"/>
  <c r="I40" i="15" s="1"/>
  <c r="F41" i="15"/>
  <c r="I41" i="15" s="1"/>
  <c r="F42" i="15"/>
  <c r="I42" i="15" s="1"/>
  <c r="F43" i="15"/>
  <c r="I43" i="15" s="1"/>
  <c r="F44" i="15"/>
  <c r="I44" i="15" s="1"/>
  <c r="F45" i="15"/>
  <c r="I45" i="15" s="1"/>
  <c r="F46" i="15"/>
  <c r="I46" i="15" s="1"/>
  <c r="F47" i="15"/>
  <c r="I47" i="15" s="1"/>
  <c r="F48" i="15"/>
  <c r="I48" i="15" s="1"/>
  <c r="F49" i="15"/>
  <c r="I49" i="15" s="1"/>
  <c r="F50" i="15"/>
  <c r="F51" i="15"/>
  <c r="F28" i="15"/>
  <c r="I28" i="15" s="1"/>
  <c r="F4" i="15"/>
  <c r="I4" i="15" s="1"/>
  <c r="H30" i="20" l="1"/>
  <c r="Q30" i="20"/>
  <c r="Q35" i="20" s="1"/>
  <c r="N22" i="20" s="1"/>
  <c r="H52" i="20"/>
  <c r="E59" i="20" s="1"/>
  <c r="N20" i="20"/>
  <c r="L47" i="20"/>
  <c r="Q47" i="20" s="1"/>
  <c r="L52" i="20" s="1"/>
  <c r="Q52" i="20" s="1"/>
  <c r="N59" i="20" s="1"/>
  <c r="H35" i="20"/>
  <c r="E20" i="20"/>
  <c r="C47" i="5"/>
  <c r="H30" i="5"/>
  <c r="H33" i="5"/>
  <c r="H46" i="5"/>
  <c r="E63" i="5"/>
  <c r="E64" i="5" a="1"/>
  <c r="E64" i="5" s="1"/>
  <c r="L59" i="20" l="1"/>
  <c r="Q59" i="20" s="1"/>
  <c r="N21" i="20" s="1"/>
  <c r="E22" i="20"/>
  <c r="C59" i="20"/>
  <c r="H59" i="20" s="1"/>
  <c r="H35" i="5"/>
  <c r="L64" i="20" l="1"/>
  <c r="Q64" i="20" s="1"/>
  <c r="C64" i="20"/>
  <c r="H64" i="20" s="1"/>
  <c r="E21" i="20" s="1"/>
  <c r="C59" i="5"/>
  <c r="H16" i="18"/>
  <c r="E22" i="5"/>
  <c r="E58" i="5"/>
  <c r="C58" i="5"/>
  <c r="C51" i="5"/>
  <c r="E47" i="5"/>
  <c r="H47" i="5" s="1"/>
  <c r="C52" i="5" s="1"/>
  <c r="H52" i="5" s="1"/>
  <c r="E46" i="5"/>
  <c r="E59" i="5" l="1"/>
  <c r="H59" i="5" s="1"/>
  <c r="E20" i="5"/>
  <c r="C64" i="5" l="1"/>
  <c r="H64" i="5" s="1"/>
  <c r="E21" i="5" l="1"/>
  <c r="C42" i="18" l="1"/>
  <c r="E35" i="18" l="1"/>
  <c r="H35" i="18" s="1"/>
  <c r="C59" i="18" s="1"/>
  <c r="H59" i="18" s="1"/>
  <c r="H42" i="18"/>
  <c r="C47" i="18" s="1"/>
  <c r="H47" i="18" s="1"/>
  <c r="C52" i="18" s="1"/>
  <c r="H52" i="18" s="1"/>
  <c r="C62" i="18"/>
  <c r="H62" i="18" s="1"/>
  <c r="E21" i="18" s="1"/>
  <c r="E20" i="18" l="1"/>
  <c r="H64" i="18"/>
  <c r="E22"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<sst xmlns="http://schemas.openxmlformats.org/spreadsheetml/2006/main" count="722" uniqueCount="99">
  <si>
    <t>Date of assessment</t>
  </si>
  <si>
    <t>NW Quadrant</t>
  </si>
  <si>
    <t>NE Quadrant</t>
  </si>
  <si>
    <t>Unit of Measurement</t>
  </si>
  <si>
    <t>sq.m</t>
  </si>
  <si>
    <t>Zoning District</t>
  </si>
  <si>
    <t>Quadrant</t>
  </si>
  <si>
    <t>GFA Unit of Measurement</t>
  </si>
  <si>
    <t xml:space="preserve">Payment in-lieu </t>
  </si>
  <si>
    <t>Provide Amenity</t>
  </si>
  <si>
    <t>Delivery Option Amenity</t>
  </si>
  <si>
    <t>Delivery Option Housing</t>
  </si>
  <si>
    <t>Provide Housing Units</t>
  </si>
  <si>
    <t>=</t>
  </si>
  <si>
    <t>Rate</t>
  </si>
  <si>
    <t>Minimum required CBB Housing units</t>
  </si>
  <si>
    <t>Total dwelling units in CBB storeys</t>
  </si>
  <si>
    <t>CBB Housing units</t>
  </si>
  <si>
    <t>CCR</t>
  </si>
  <si>
    <t>Category 1- Civic facilities</t>
  </si>
  <si>
    <t>Category 2- Social service centres and child care facilities</t>
  </si>
  <si>
    <t>Category 3- Community benefit bonus housing</t>
  </si>
  <si>
    <t>Amenity  Category</t>
  </si>
  <si>
    <t>Remainder Value</t>
  </si>
  <si>
    <t>÷</t>
  </si>
  <si>
    <t>×</t>
  </si>
  <si>
    <t>Step 2: Housing Requirements</t>
  </si>
  <si>
    <t>Step 3: Amenity Requirements</t>
  </si>
  <si>
    <t>Capital Cost Rate- Category 3 Housing</t>
  </si>
  <si>
    <t>SW Quadrant</t>
  </si>
  <si>
    <t>Housing Commitment Option</t>
  </si>
  <si>
    <t>Amenity  Commitment Option</t>
  </si>
  <si>
    <t>SE Quadrant</t>
  </si>
  <si>
    <t>Step 1: Community Benefit Value</t>
  </si>
  <si>
    <t>−</t>
  </si>
  <si>
    <t>sq.ft</t>
  </si>
  <si>
    <t>Community Benefit Value, $</t>
  </si>
  <si>
    <t>Minimum CBB Housing Payment-in-lieu amount, $</t>
  </si>
  <si>
    <t>Remainder payment-in-lieu amount (Remainder Value), $</t>
  </si>
  <si>
    <t>Detailed Calulations:</t>
  </si>
  <si>
    <t>Summary:</t>
  </si>
  <si>
    <t>R6</t>
  </si>
  <si>
    <t>R7</t>
  </si>
  <si>
    <t>R8</t>
  </si>
  <si>
    <t>Market Strata</t>
  </si>
  <si>
    <t>Market Rental</t>
  </si>
  <si>
    <t>Starta or Rental</t>
  </si>
  <si>
    <t>Unit Type</t>
  </si>
  <si>
    <t>Yes or No?</t>
  </si>
  <si>
    <t>Yes</t>
  </si>
  <si>
    <t>No</t>
  </si>
  <si>
    <t>N/A</t>
  </si>
  <si>
    <t>Miminum GFA per unit</t>
  </si>
  <si>
    <t>Problem?</t>
  </si>
  <si>
    <t>Unrounded</t>
  </si>
  <si>
    <t>Min Units Size Permitted</t>
  </si>
  <si>
    <t>Diff</t>
  </si>
  <si>
    <t>Bonus Units Type 1</t>
  </si>
  <si>
    <t>Bonus Units Type 2</t>
  </si>
  <si>
    <t>Housing Requirements:</t>
  </si>
  <si>
    <t>Amenity Requirements:</t>
  </si>
  <si>
    <t>Total Community Benefit Value:</t>
  </si>
  <si>
    <t>Applicable Community Benefit Rate, Bonus Unit Type 1</t>
  </si>
  <si>
    <t>Applicable Community Benefit Rate, Bonus Unit Type 2</t>
  </si>
  <si>
    <t xml:space="preserve">Total Community Benefit Value: </t>
  </si>
  <si>
    <t>+</t>
  </si>
  <si>
    <t>CBV allocated to Bonus Units Type 1</t>
  </si>
  <si>
    <t>Total:</t>
  </si>
  <si>
    <t>Step 1: Amenity Requirements</t>
  </si>
  <si>
    <t>Applicable Community Benefit Rate, Bonus Unit Type 1, $</t>
  </si>
  <si>
    <t>Applicable Community Benefit Rate, Bonus Unit Type 2, $</t>
  </si>
  <si>
    <t>CBV allocated to Bonus Units Type 2</t>
  </si>
  <si>
    <t>Bonus Units Type 2-GFA, sq.m</t>
  </si>
  <si>
    <t>Bonus Units Type 1-GFA, sq.m</t>
  </si>
  <si>
    <t>Bonus Units Type 1-Number of Units</t>
  </si>
  <si>
    <t>Bonus Units Type 2-Number of Units</t>
  </si>
  <si>
    <t>None: All Bonus Density is Type 1</t>
  </si>
  <si>
    <t>Bonus Units Type 1-GFA, sq.ft</t>
  </si>
  <si>
    <t>Bonus Units Type 2-GFA, sq.ft</t>
  </si>
  <si>
    <t>Community Benefit Bonus (CBB) Calculator – Calculator User Guide</t>
  </si>
  <si>
    <t>Purpose of the Calculator</t>
  </si>
  <si>
    <r>
      <t xml:space="preserve">The CBB Calculator provides a </t>
    </r>
    <r>
      <rPr>
        <b/>
        <sz val="12"/>
        <color theme="1"/>
        <rFont val="Aptos"/>
        <family val="2"/>
      </rPr>
      <t>preliminary estimate</t>
    </r>
    <r>
      <rPr>
        <sz val="12"/>
        <color theme="1"/>
        <rFont val="Aptos"/>
        <family val="2"/>
      </rPr>
      <t xml:space="preserve"> of Community Benefit Bonus contributions for development projects at City of Burnaby.</t>
    </r>
  </si>
  <si>
    <t>How to Use the Calculator:</t>
  </si>
  <si>
    <r>
      <t xml:space="preserve">Fill in </t>
    </r>
    <r>
      <rPr>
        <b/>
        <sz val="12"/>
        <color theme="1"/>
        <rFont val="Aptos"/>
        <family val="2"/>
      </rPr>
      <t>ALL</t>
    </r>
    <r>
      <rPr>
        <sz val="12"/>
        <color theme="1"/>
        <rFont val="Aptos"/>
        <family val="2"/>
      </rPr>
      <t xml:space="preserve"> blue highlighted input cells to receive estimate output:</t>
    </r>
  </si>
  <si>
    <t>Important Note</t>
  </si>
  <si>
    <r>
      <t xml:space="preserve">This tool provides an </t>
    </r>
    <r>
      <rPr>
        <b/>
        <sz val="12"/>
        <color theme="1"/>
        <rFont val="Aptos"/>
        <family val="2"/>
      </rPr>
      <t>estimate only</t>
    </r>
    <r>
      <rPr>
        <sz val="12"/>
        <color theme="1"/>
        <rFont val="Aptos"/>
        <family val="2"/>
      </rPr>
      <t>, final amounts and requirements are determined by the City.</t>
    </r>
  </si>
  <si>
    <t>Troubleshooting</t>
  </si>
  <si>
    <t>Ensure all blue highlighted fields are completed</t>
  </si>
  <si>
    <t>In sections with no drop down, if there is no input applicable, enter 0.</t>
  </si>
  <si>
    <t>Enter values only in highlighted cells.</t>
  </si>
  <si>
    <t>If results appear incorrect, recheck your project inputs.</t>
  </si>
  <si>
    <t>Policy and Bylaw References</t>
  </si>
  <si>
    <t>Community Benefit Bonus</t>
  </si>
  <si>
    <t>Need Help?</t>
  </si>
  <si>
    <t xml:space="preserve">To ensure your project inputs align with Burnaby’s Community Benefit Bonus requirements, please refer to the official bylaw, </t>
  </si>
  <si>
    <t>available on the City of Burnaby website:</t>
  </si>
  <si>
    <r>
      <t xml:space="preserve">For assistance or clarification, please contact: </t>
    </r>
    <r>
      <rPr>
        <i/>
        <sz val="12"/>
        <color theme="3" tint="0.499984740745262"/>
        <rFont val="Aptos"/>
        <family val="2"/>
      </rPr>
      <t xml:space="preserve">Development Finance (development.finance@burnaby.ca) </t>
    </r>
  </si>
  <si>
    <t>Example:</t>
  </si>
  <si>
    <r>
      <t>This calculator (the “</t>
    </r>
    <r>
      <rPr>
        <b/>
        <sz val="12"/>
        <color rgb="FFFF0000"/>
        <rFont val="Aptos"/>
        <family val="2"/>
      </rPr>
      <t>Calculator</t>
    </r>
    <r>
      <rPr>
        <sz val="12"/>
        <color rgb="FFFF0000"/>
        <rFont val="Aptos"/>
        <family val="2"/>
      </rPr>
      <t>”) provides an estimate for informational purposes only of the Community Benefit Bonus contributions (“</t>
    </r>
    <r>
      <rPr>
        <b/>
        <sz val="12"/>
        <color rgb="FFFF0000"/>
        <rFont val="Aptos"/>
        <family val="2"/>
      </rPr>
      <t>CBBs</t>
    </r>
    <r>
      <rPr>
        <sz val="12"/>
        <color rgb="FFFF0000"/>
        <rFont val="Aptos"/>
        <family val="2"/>
      </rPr>
      <t>”) for development projects. This Calculator only calculates the CBBs which may be payable to the City of Burnaby (the “</t>
    </r>
    <r>
      <rPr>
        <b/>
        <sz val="12"/>
        <color rgb="FFFF0000"/>
        <rFont val="Aptos"/>
        <family val="2"/>
      </rPr>
      <t>City</t>
    </r>
    <r>
      <rPr>
        <sz val="12"/>
        <color rgb="FFFF0000"/>
        <rFont val="Aptos"/>
        <family val="2"/>
      </rPr>
      <t xml:space="preserve">”), in exchange for the City approving additional residential height, based on the community benefit rates and community benefit capital cost rates, as applicable, that are current as of April 1, 2026 under the </t>
    </r>
    <r>
      <rPr>
        <i/>
        <sz val="12"/>
        <color rgb="FFFF0000"/>
        <rFont val="Aptos"/>
        <family val="2"/>
      </rPr>
      <t xml:space="preserve">City of Burnaby Zoning Bylaw, 1965 </t>
    </r>
    <r>
      <rPr>
        <sz val="12"/>
        <color rgb="FFFF0000"/>
        <rFont val="Aptos"/>
        <family val="2"/>
      </rPr>
      <t>(the “</t>
    </r>
    <r>
      <rPr>
        <b/>
        <sz val="12"/>
        <color rgb="FFFF0000"/>
        <rFont val="Aptos"/>
        <family val="2"/>
      </rPr>
      <t>Zoning Bylaw</t>
    </r>
    <r>
      <rPr>
        <sz val="12"/>
        <color rgb="FFFF0000"/>
        <rFont val="Aptos"/>
        <family val="2"/>
      </rPr>
      <t xml:space="preserve">”), and does not include any other fees or charges that may otherwise be payable by you to the City or any other organization. The accuracy of the calculation is dependent on the information entered by the user and does not reflect any amendments to, or replacements of, the Zoning Bylaw that may alter rates from time to time. The City expressly disclaims all responsibility for, and does not guarantee the accuracy, reliability, or completeness of, any calculation generated by the Calculator. By using this Calculator, you acknowledge and agree to release the City from any and all liability for any loss, damage, claim, or expense, whether direct or indirect, arising from the use of, or reliance on, the information provided by the Calculator.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</si>
</sst>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_(\ #,##0.00_);_(\ \(#,##0.00\);_(\ &quot;-&quot;??_);_(@_)"/>
    <numFmt numFmtId="167" formatCode="_(\ #,##0_);_(\ \(#,##0\);_(\ &quot;-&quot;??_);_(@_)"/>
    <numFmt numFmtId="168" formatCode="_(&quot;$&quot;\ #,##0.00_);_(&quot;$&quot;\ \(#,##0.00\);_(\ &quot;-&quot;??_);_(@_)"/>
    <numFmt numFmtId="169" formatCode="_(&quot;$&quot;\ #,##0.00_);_(&quot;$&quot;\ \(#,##0.00\);_(&quot;$&quot;\ &quot;-&quot;??_);_(@_)"/>
  </numFmts>
  <fonts count="25"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b/>
      <i/>
      <sz val="11"/>
      <color theme="1"/>
      <name val="Aptos Narrow"/>
      <family val="2"/>
      <scheme val="minor"/>
    </font>
    <font>
      <b/>
      <sz val="11"/>
      <color theme="1"/>
      <name val="Aptos Narrow"/>
      <family val="2"/>
    </font>
    <font>
      <b/>
      <sz val="15"/>
      <color theme="1"/>
      <name val="Aptos Narrow"/>
      <family val="2"/>
    </font>
    <font>
      <sz val="5"/>
      <color theme="1"/>
      <name val="Aptos Narrow"/>
      <family val="2"/>
      <scheme val="minor"/>
    </font>
    <font>
      <b/>
      <sz val="5"/>
      <color theme="1"/>
      <name val="Aptos Narrow"/>
      <family val="2"/>
      <scheme val="minor"/>
    </font>
    <font>
      <sz val="8"/>
      <name val="Aptos Narrow"/>
      <family val="2"/>
      <scheme val="minor"/>
    </font>
    <font>
      <sz val="11"/>
      <name val="Aptos Narrow"/>
      <family val="2"/>
      <scheme val="minor"/>
    </font>
    <font>
      <sz val="11"/>
      <color rgb="FFFF0000"/>
      <name val="Aptos Narrow"/>
      <family val="2"/>
      <scheme val="minor"/>
    </font>
    <font>
      <sz val="12"/>
      <color rgb="FF464646"/>
      <name val="Arial"/>
      <family val="2"/>
    </font>
    <font>
      <sz val="12"/>
      <color theme="1"/>
      <name val="Aptos"/>
      <family val="2"/>
    </font>
    <font>
      <b/>
      <sz val="12"/>
      <color theme="1"/>
      <name val="Aptos"/>
      <family val="2"/>
    </font>
    <font>
      <i/>
      <sz val="12"/>
      <color theme="1"/>
      <name val="Aptos"/>
      <family val="2"/>
    </font>
    <font>
      <u/>
      <sz val="11"/>
      <color theme="10"/>
      <name val="Aptos Narrow"/>
      <family val="2"/>
      <scheme val="minor"/>
    </font>
    <font>
      <b/>
      <i/>
      <sz val="12"/>
      <color theme="1"/>
      <name val="Aptos"/>
      <family val="2"/>
    </font>
    <font>
      <i/>
      <sz val="12"/>
      <color theme="3" tint="0.499984740745262"/>
      <name val="Aptos"/>
      <family val="2"/>
    </font>
    <font>
      <u/>
      <sz val="12"/>
      <color theme="10"/>
      <name val="Aptos Narrow"/>
      <family val="2"/>
      <scheme val="minor"/>
    </font>
    <font>
      <b/>
      <i/>
      <u/>
      <sz val="12"/>
      <color theme="1"/>
      <name val="Aptos"/>
      <family val="2"/>
    </font>
    <font>
      <sz val="12"/>
      <color rgb="FFFF0000"/>
      <name val="Aptos"/>
      <family val="2"/>
    </font>
    <font>
      <b/>
      <sz val="12"/>
      <color rgb="FFFF0000"/>
      <name val="Aptos"/>
      <family val="2"/>
    </font>
    <font>
      <i/>
      <sz val="12"/>
      <color rgb="FFFF0000"/>
      <name val="Aptos"/>
      <family val="2"/>
    </font>
  </fonts>
  <fills count="10">
    <fill>
      <patternFill patternType="none"/>
    </fill>
    <fill>
      <patternFill patternType="gray125"/>
    </fill>
    <fill>
      <patternFill patternType="solid">
        <fgColor theme="0"/>
        <bgColor indexed="64"/>
      </patternFill>
    </fill>
    <fill>
      <patternFill patternType="solid">
        <fgColor theme="3" tint="0.89999084444715716"/>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4" tint="0.79998168889431442"/>
        <bgColor theme="4" tint="0.79998168889431442"/>
      </patternFill>
    </fill>
    <fill>
      <patternFill patternType="solid">
        <fgColor rgb="FFFDD9D3"/>
        <bgColor indexed="64"/>
      </patternFill>
    </fill>
    <fill>
      <patternFill patternType="solid">
        <fgColor theme="0" tint="-0.14999847407452621"/>
        <bgColor indexed="64"/>
      </patternFill>
    </fill>
    <fill>
      <patternFill patternType="solid">
        <fgColor theme="6"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bottom style="thin">
        <color theme="4" tint="0.3999755851924192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cellStyleXfs>
  <cellXfs count="145">
    <xf numFmtId="0" fontId="0" fillId="0" borderId="0" xfId="0"/>
    <xf numFmtId="0" fontId="0" fillId="2" borderId="0" xfId="0" applyFill="1"/>
    <xf numFmtId="0" fontId="0" fillId="2" borderId="1" xfId="0" applyFill="1" applyBorder="1"/>
    <xf numFmtId="0" fontId="0" fillId="0" borderId="0" xfId="0" applyAlignment="1">
      <alignment horizontal="center" vertical="top"/>
    </xf>
    <xf numFmtId="0" fontId="0" fillId="0" borderId="0" xfId="0" applyAlignment="1">
      <alignment horizontal="center"/>
    </xf>
    <xf numFmtId="0" fontId="0" fillId="2" borderId="0" xfId="0" applyFill="1" applyAlignment="1">
      <alignment horizontal="center" vertical="top"/>
    </xf>
    <xf numFmtId="44" fontId="0" fillId="2" borderId="0" xfId="2" applyFont="1" applyFill="1" applyAlignment="1">
      <alignment vertical="top"/>
    </xf>
    <xf numFmtId="0" fontId="0" fillId="2" borderId="1" xfId="0" applyFill="1" applyBorder="1" applyAlignment="1">
      <alignment horizontal="center" vertical="top"/>
    </xf>
    <xf numFmtId="44" fontId="0" fillId="2" borderId="1" xfId="2" applyFont="1" applyFill="1" applyBorder="1" applyAlignment="1">
      <alignment vertical="top"/>
    </xf>
    <xf numFmtId="0" fontId="0" fillId="4" borderId="1" xfId="0" applyFill="1" applyBorder="1" applyAlignment="1">
      <alignment horizontal="center" vertical="center"/>
    </xf>
    <xf numFmtId="0" fontId="0" fillId="2" borderId="1" xfId="0" applyFill="1" applyBorder="1" applyAlignment="1">
      <alignment vertical="center"/>
    </xf>
    <xf numFmtId="14" fontId="11" fillId="3" borderId="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66" fontId="11" fillId="3" borderId="1" xfId="1" applyNumberFormat="1" applyFont="1" applyFill="1" applyBorder="1" applyAlignment="1" applyProtection="1">
      <alignment horizontal="center" vertical="center"/>
      <protection locked="0"/>
    </xf>
    <xf numFmtId="167" fontId="11" fillId="3" borderId="1" xfId="1" applyNumberFormat="1" applyFont="1" applyFill="1" applyBorder="1" applyAlignment="1" applyProtection="1">
      <alignment horizontal="center" vertical="center"/>
      <protection locked="0"/>
    </xf>
    <xf numFmtId="0" fontId="0" fillId="0" borderId="0" xfId="0" pivotButton="1"/>
    <xf numFmtId="44" fontId="0" fillId="0" borderId="0" xfId="0" applyNumberFormat="1"/>
    <xf numFmtId="43" fontId="0" fillId="0" borderId="0" xfId="1" applyFont="1"/>
    <xf numFmtId="43" fontId="2" fillId="6" borderId="10" xfId="1" applyFont="1" applyFill="1" applyBorder="1"/>
    <xf numFmtId="44" fontId="0" fillId="7" borderId="0" xfId="0" applyNumberFormat="1" applyFill="1"/>
    <xf numFmtId="0" fontId="0" fillId="7" borderId="0" xfId="0" applyFill="1"/>
    <xf numFmtId="43" fontId="0" fillId="7" borderId="0" xfId="1" applyFont="1" applyFill="1"/>
    <xf numFmtId="43" fontId="0" fillId="0" borderId="0" xfId="1" applyFont="1" applyAlignment="1">
      <alignment horizontal="center"/>
    </xf>
    <xf numFmtId="43" fontId="0" fillId="0" borderId="0" xfId="0" applyNumberFormat="1"/>
    <xf numFmtId="43" fontId="0" fillId="2" borderId="0" xfId="1" applyFont="1" applyFill="1" applyProtection="1"/>
    <xf numFmtId="44" fontId="0" fillId="2" borderId="0" xfId="2" applyFont="1" applyFill="1" applyBorder="1" applyProtection="1"/>
    <xf numFmtId="44" fontId="0" fillId="2" borderId="0" xfId="2" applyFont="1" applyFill="1" applyProtection="1"/>
    <xf numFmtId="168" fontId="0" fillId="2" borderId="6" xfId="2" applyNumberFormat="1" applyFont="1" applyFill="1" applyBorder="1" applyAlignment="1" applyProtection="1">
      <alignment horizontal="right" vertical="center"/>
    </xf>
    <xf numFmtId="166" fontId="0" fillId="2" borderId="0" xfId="1" applyNumberFormat="1" applyFont="1" applyFill="1" applyBorder="1" applyAlignment="1" applyProtection="1">
      <alignment horizontal="left" vertical="center"/>
    </xf>
    <xf numFmtId="167" fontId="0" fillId="2" borderId="6" xfId="1" applyNumberFormat="1" applyFont="1" applyFill="1" applyBorder="1" applyAlignment="1" applyProtection="1">
      <alignment horizontal="right" vertical="center"/>
    </xf>
    <xf numFmtId="9" fontId="0" fillId="2" borderId="0" xfId="3" applyFont="1" applyFill="1" applyBorder="1" applyAlignment="1" applyProtection="1">
      <alignment horizontal="left" vertical="center"/>
    </xf>
    <xf numFmtId="167" fontId="0" fillId="2" borderId="7" xfId="1" applyNumberFormat="1" applyFont="1" applyFill="1" applyBorder="1" applyAlignment="1" applyProtection="1">
      <alignment horizontal="left" vertical="center"/>
    </xf>
    <xf numFmtId="166" fontId="0" fillId="2" borderId="7" xfId="1" applyNumberFormat="1" applyFont="1" applyFill="1" applyBorder="1" applyAlignment="1" applyProtection="1">
      <alignment horizontal="left" vertical="center"/>
    </xf>
    <xf numFmtId="166" fontId="0" fillId="2" borderId="6" xfId="1" applyNumberFormat="1" applyFont="1" applyFill="1" applyBorder="1" applyAlignment="1" applyProtection="1">
      <alignment horizontal="right" vertical="center"/>
    </xf>
    <xf numFmtId="168" fontId="0" fillId="2" borderId="7" xfId="2" applyNumberFormat="1" applyFont="1" applyFill="1" applyBorder="1" applyAlignment="1" applyProtection="1">
      <alignment horizontal="left" vertical="center"/>
    </xf>
    <xf numFmtId="43" fontId="0" fillId="2" borderId="8" xfId="1" applyFont="1" applyFill="1" applyBorder="1" applyAlignment="1" applyProtection="1">
      <alignment horizontal="center" vertical="center"/>
    </xf>
    <xf numFmtId="165" fontId="0" fillId="2" borderId="9" xfId="2" applyNumberFormat="1" applyFont="1" applyFill="1" applyBorder="1" applyAlignment="1" applyProtection="1">
      <alignment horizontal="left" vertical="center"/>
    </xf>
    <xf numFmtId="168" fontId="4" fillId="2" borderId="0" xfId="2" applyNumberFormat="1" applyFont="1" applyFill="1" applyBorder="1" applyAlignment="1" applyProtection="1">
      <alignment horizontal="left" vertical="center" wrapText="1"/>
    </xf>
    <xf numFmtId="9" fontId="11" fillId="3" borderId="1" xfId="3" applyFont="1" applyFill="1" applyBorder="1" applyAlignment="1" applyProtection="1">
      <alignment horizontal="center" vertical="center"/>
      <protection locked="0"/>
    </xf>
    <xf numFmtId="166" fontId="2" fillId="2" borderId="11" xfId="1" applyNumberFormat="1" applyFont="1" applyFill="1" applyBorder="1" applyAlignment="1" applyProtection="1">
      <alignment horizontal="left" vertical="center"/>
    </xf>
    <xf numFmtId="168" fontId="4" fillId="2" borderId="0" xfId="2" applyNumberFormat="1" applyFont="1" applyFill="1" applyBorder="1" applyAlignment="1" applyProtection="1">
      <alignment horizontal="left" vertical="center" wrapText="1" indent="1"/>
    </xf>
    <xf numFmtId="0" fontId="0" fillId="2" borderId="0" xfId="0" applyFill="1" applyAlignment="1">
      <alignment horizontal="center" vertical="center"/>
    </xf>
    <xf numFmtId="0" fontId="11" fillId="2" borderId="0" xfId="0" applyFont="1" applyFill="1" applyAlignment="1">
      <alignment horizontal="left" vertical="center"/>
    </xf>
    <xf numFmtId="0" fontId="12" fillId="2" borderId="0" xfId="0" applyFont="1" applyFill="1" applyAlignment="1">
      <alignment horizontal="center" vertical="center"/>
    </xf>
    <xf numFmtId="0" fontId="3" fillId="2" borderId="0" xfId="0" applyFont="1" applyFill="1" applyAlignment="1">
      <alignment horizontal="center" vertical="center"/>
    </xf>
    <xf numFmtId="0" fontId="12" fillId="2" borderId="0" xfId="0" applyFont="1" applyFill="1" applyAlignment="1">
      <alignment horizontal="left" vertical="center"/>
    </xf>
    <xf numFmtId="0" fontId="3" fillId="2" borderId="0" xfId="0" applyFont="1" applyFill="1" applyAlignment="1">
      <alignment horizontal="left" vertical="center" indent="14"/>
    </xf>
    <xf numFmtId="0" fontId="3" fillId="2" borderId="0" xfId="0" applyFont="1" applyFill="1" applyAlignment="1">
      <alignment horizontal="left" vertical="center"/>
    </xf>
    <xf numFmtId="0" fontId="12" fillId="2" borderId="0" xfId="0" applyFont="1" applyFill="1"/>
    <xf numFmtId="0" fontId="0" fillId="2" borderId="0" xfId="0" applyFill="1" applyAlignment="1">
      <alignment horizontal="left" vertical="center"/>
    </xf>
    <xf numFmtId="0" fontId="0" fillId="2" borderId="0" xfId="0" applyFill="1" applyAlignment="1">
      <alignment horizontal="right" vertical="center"/>
    </xf>
    <xf numFmtId="0" fontId="0" fillId="2" borderId="0" xfId="0" quotePrefix="1" applyFill="1" applyAlignment="1">
      <alignment horizontal="left" vertical="center" indent="9"/>
    </xf>
    <xf numFmtId="7" fontId="0" fillId="2" borderId="0" xfId="0" applyNumberFormat="1" applyFill="1"/>
    <xf numFmtId="0" fontId="0" fillId="2" borderId="4" xfId="0" applyFill="1" applyBorder="1" applyAlignment="1">
      <alignment horizontal="center" vertical="center"/>
    </xf>
    <xf numFmtId="0" fontId="2" fillId="4" borderId="0" xfId="0" applyFont="1" applyFill="1" applyAlignment="1">
      <alignment horizontal="center" vertical="center"/>
    </xf>
    <xf numFmtId="0" fontId="0" fillId="4" borderId="0" xfId="0" applyFill="1" applyAlignment="1">
      <alignment horizontal="center" vertical="center"/>
    </xf>
    <xf numFmtId="165" fontId="2" fillId="4" borderId="0" xfId="0" applyNumberFormat="1" applyFont="1" applyFill="1" applyAlignment="1">
      <alignment horizontal="center" vertical="center"/>
    </xf>
    <xf numFmtId="0" fontId="0" fillId="2" borderId="0" xfId="0" applyFill="1" applyAlignment="1">
      <alignment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xf numFmtId="0" fontId="4" fillId="2" borderId="6" xfId="0" applyFont="1" applyFill="1" applyBorder="1" applyAlignment="1">
      <alignment horizontal="right" vertical="center" wrapText="1"/>
    </xf>
    <xf numFmtId="0" fontId="7" fillId="2" borderId="0" xfId="0" applyFont="1" applyFill="1" applyAlignment="1">
      <alignment horizontal="center" vertical="center"/>
    </xf>
    <xf numFmtId="0" fontId="4" fillId="2" borderId="0" xfId="0" applyFont="1" applyFill="1" applyAlignment="1">
      <alignment horizontal="left" vertical="center" wrapText="1"/>
    </xf>
    <xf numFmtId="0" fontId="5" fillId="2" borderId="0" xfId="0" applyFont="1" applyFill="1" applyAlignment="1">
      <alignment horizontal="center" vertical="center"/>
    </xf>
    <xf numFmtId="0" fontId="2" fillId="2" borderId="0" xfId="0" applyFont="1" applyFill="1" applyAlignment="1">
      <alignment horizontal="center" vertical="center"/>
    </xf>
    <xf numFmtId="0" fontId="4" fillId="2" borderId="7" xfId="0" applyFont="1" applyFill="1" applyBorder="1" applyAlignment="1">
      <alignment horizontal="left" vertical="center" wrapText="1"/>
    </xf>
    <xf numFmtId="169" fontId="4" fillId="2" borderId="6" xfId="2" applyNumberFormat="1" applyFont="1" applyFill="1" applyBorder="1" applyAlignment="1" applyProtection="1">
      <alignment horizontal="right" vertical="center" wrapText="1"/>
    </xf>
    <xf numFmtId="166" fontId="4" fillId="2" borderId="0" xfId="0" applyNumberFormat="1" applyFont="1" applyFill="1" applyAlignment="1">
      <alignment horizontal="left" vertical="center" wrapText="1"/>
    </xf>
    <xf numFmtId="7" fontId="4" fillId="2" borderId="7" xfId="0" applyNumberFormat="1" applyFont="1" applyFill="1" applyBorder="1" applyAlignment="1">
      <alignment horizontal="left" vertical="center" wrapText="1"/>
    </xf>
    <xf numFmtId="0" fontId="2" fillId="2" borderId="12" xfId="0" applyFont="1" applyFill="1" applyBorder="1" applyAlignment="1">
      <alignment vertical="center"/>
    </xf>
    <xf numFmtId="7" fontId="5" fillId="2" borderId="11" xfId="0" applyNumberFormat="1" applyFont="1" applyFill="1" applyBorder="1" applyAlignment="1">
      <alignment horizontal="left" vertical="center" wrapText="1"/>
    </xf>
    <xf numFmtId="0" fontId="8" fillId="2" borderId="2" xfId="0" applyFont="1" applyFill="1" applyBorder="1" applyAlignment="1">
      <alignment horizontal="center" vertical="center"/>
    </xf>
    <xf numFmtId="0" fontId="8" fillId="2" borderId="8" xfId="0" applyFont="1" applyFill="1" applyBorder="1" applyAlignment="1">
      <alignment horizontal="center" vertical="center"/>
    </xf>
    <xf numFmtId="0" fontId="9" fillId="2" borderId="8" xfId="0" applyFont="1" applyFill="1" applyBorder="1" applyAlignment="1">
      <alignment horizontal="center" vertical="center"/>
    </xf>
    <xf numFmtId="0" fontId="8" fillId="2" borderId="9" xfId="0" applyFont="1" applyFill="1" applyBorder="1" applyAlignment="1">
      <alignment horizontal="left" vertical="center"/>
    </xf>
    <xf numFmtId="165" fontId="2" fillId="4" borderId="0" xfId="0" applyNumberFormat="1" applyFont="1" applyFill="1" applyAlignment="1">
      <alignment horizontal="left" vertical="center"/>
    </xf>
    <xf numFmtId="0" fontId="0" fillId="2" borderId="3" xfId="0" applyFill="1" applyBorder="1" applyAlignment="1">
      <alignment horizontal="center" vertical="center"/>
    </xf>
    <xf numFmtId="0" fontId="2" fillId="2" borderId="4" xfId="0" applyFont="1" applyFill="1" applyBorder="1" applyAlignment="1">
      <alignment horizontal="center" vertical="center"/>
    </xf>
    <xf numFmtId="0" fontId="0" fillId="2" borderId="5" xfId="0" applyFill="1" applyBorder="1" applyAlignment="1">
      <alignment horizontal="left" vertical="center"/>
    </xf>
    <xf numFmtId="0" fontId="4" fillId="0" borderId="6" xfId="0" applyFont="1" applyBorder="1" applyAlignment="1">
      <alignment horizontal="right" vertical="center" wrapText="1"/>
    </xf>
    <xf numFmtId="9" fontId="4" fillId="2" borderId="0" xfId="0" applyNumberFormat="1" applyFont="1" applyFill="1" applyAlignment="1">
      <alignment horizontal="left" vertical="center" wrapText="1"/>
    </xf>
    <xf numFmtId="0" fontId="0" fillId="2" borderId="0" xfId="0" applyFill="1" applyAlignment="1">
      <alignment vertical="top"/>
    </xf>
    <xf numFmtId="0" fontId="0" fillId="2" borderId="2" xfId="0" applyFill="1" applyBorder="1" applyAlignment="1">
      <alignment horizontal="center" vertical="center"/>
    </xf>
    <xf numFmtId="0" fontId="2" fillId="2" borderId="8" xfId="0" applyFont="1"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left" vertical="center"/>
    </xf>
    <xf numFmtId="0" fontId="0" fillId="0" borderId="0" xfId="0" applyAlignment="1">
      <alignment horizontal="left" vertical="center" indent="1"/>
    </xf>
    <xf numFmtId="164" fontId="0" fillId="2" borderId="2" xfId="0" applyNumberFormat="1" applyFill="1" applyBorder="1" applyAlignment="1">
      <alignment horizontal="center" vertical="center"/>
    </xf>
    <xf numFmtId="0" fontId="7" fillId="2" borderId="8" xfId="0" applyFont="1" applyFill="1" applyBorder="1" applyAlignment="1">
      <alignment horizontal="center" vertical="center"/>
    </xf>
    <xf numFmtId="0" fontId="0" fillId="2" borderId="8" xfId="0" applyFill="1" applyBorder="1" applyAlignment="1">
      <alignment horizontal="left" vertical="center"/>
    </xf>
    <xf numFmtId="0" fontId="5" fillId="2" borderId="8" xfId="0" applyFont="1" applyFill="1" applyBorder="1" applyAlignment="1">
      <alignment horizontal="center" vertical="center"/>
    </xf>
    <xf numFmtId="164" fontId="0" fillId="2" borderId="9" xfId="0" applyNumberFormat="1" applyFill="1" applyBorder="1" applyAlignment="1">
      <alignment horizontal="left" vertical="center"/>
    </xf>
    <xf numFmtId="164" fontId="0" fillId="2" borderId="0" xfId="0" applyNumberFormat="1" applyFill="1" applyAlignment="1">
      <alignment horizontal="center" vertical="center"/>
    </xf>
    <xf numFmtId="164" fontId="0" fillId="2" borderId="0" xfId="0" applyNumberFormat="1" applyFill="1" applyAlignment="1">
      <alignment horizontal="left" vertical="center"/>
    </xf>
    <xf numFmtId="164" fontId="0" fillId="2" borderId="3" xfId="0" applyNumberFormat="1" applyFill="1" applyBorder="1" applyAlignment="1">
      <alignment horizontal="center" vertical="center"/>
    </xf>
    <xf numFmtId="0" fontId="5" fillId="2" borderId="4" xfId="0" applyFont="1" applyFill="1" applyBorder="1" applyAlignment="1">
      <alignment horizontal="center" vertical="center"/>
    </xf>
    <xf numFmtId="164" fontId="0" fillId="2" borderId="5" xfId="0" applyNumberFormat="1" applyFill="1" applyBorder="1" applyAlignment="1">
      <alignment horizontal="left" vertical="center"/>
    </xf>
    <xf numFmtId="165" fontId="2" fillId="2" borderId="0" xfId="0" applyNumberFormat="1" applyFont="1" applyFill="1" applyAlignment="1">
      <alignment horizontal="left" vertical="center"/>
    </xf>
    <xf numFmtId="0" fontId="2" fillId="2" borderId="3" xfId="0" applyFont="1" applyFill="1" applyBorder="1" applyAlignment="1">
      <alignment horizontal="center" vertical="center"/>
    </xf>
    <xf numFmtId="165" fontId="2" fillId="2" borderId="5" xfId="0" applyNumberFormat="1" applyFont="1" applyFill="1" applyBorder="1" applyAlignment="1">
      <alignment horizontal="left" vertical="center"/>
    </xf>
    <xf numFmtId="0" fontId="6" fillId="2" borderId="0" xfId="0" quotePrefix="1" applyFont="1" applyFill="1" applyAlignment="1">
      <alignment horizontal="center" vertical="center"/>
    </xf>
    <xf numFmtId="0" fontId="0" fillId="2" borderId="2" xfId="0" applyFill="1" applyBorder="1" applyAlignment="1">
      <alignment horizontal="right" vertical="center"/>
    </xf>
    <xf numFmtId="0" fontId="0" fillId="2" borderId="3" xfId="0" applyFill="1" applyBorder="1" applyAlignment="1">
      <alignment horizontal="right" vertical="center"/>
    </xf>
    <xf numFmtId="0" fontId="0" fillId="2" borderId="4" xfId="0" applyFill="1" applyBorder="1" applyAlignment="1">
      <alignment horizontal="left" vertical="center"/>
    </xf>
    <xf numFmtId="0" fontId="6" fillId="2" borderId="0" xfId="0" applyFont="1" applyFill="1" applyAlignment="1">
      <alignment horizontal="center" vertical="center"/>
    </xf>
    <xf numFmtId="0" fontId="0" fillId="2" borderId="0" xfId="0" applyFill="1" applyAlignment="1">
      <alignment horizontal="center"/>
    </xf>
    <xf numFmtId="0" fontId="0" fillId="2" borderId="9" xfId="0" applyFill="1" applyBorder="1" applyAlignment="1">
      <alignment horizontal="center" vertical="center"/>
    </xf>
    <xf numFmtId="0" fontId="4" fillId="0" borderId="7" xfId="0" applyFont="1" applyBorder="1" applyAlignment="1">
      <alignment horizontal="left" vertical="center" wrapText="1"/>
    </xf>
    <xf numFmtId="7" fontId="4" fillId="2" borderId="6" xfId="0" applyNumberFormat="1" applyFont="1" applyFill="1" applyBorder="1" applyAlignment="1">
      <alignment horizontal="right" vertical="center" wrapText="1"/>
    </xf>
    <xf numFmtId="166" fontId="4" fillId="0" borderId="7" xfId="0" applyNumberFormat="1" applyFont="1" applyBorder="1" applyAlignment="1">
      <alignment horizontal="left" vertical="center" wrapText="1"/>
    </xf>
    <xf numFmtId="0" fontId="4" fillId="2" borderId="0" xfId="0" applyFont="1" applyFill="1" applyAlignment="1">
      <alignment horizontal="right" vertical="center" wrapText="1"/>
    </xf>
    <xf numFmtId="166" fontId="4" fillId="2" borderId="7" xfId="0" applyNumberFormat="1" applyFont="1" applyFill="1" applyBorder="1" applyAlignment="1">
      <alignment horizontal="left" vertical="center" wrapText="1"/>
    </xf>
    <xf numFmtId="169" fontId="4" fillId="2" borderId="0" xfId="2" applyNumberFormat="1" applyFont="1" applyFill="1" applyBorder="1" applyAlignment="1" applyProtection="1">
      <alignment horizontal="left" vertical="center" wrapText="1" indent="1"/>
    </xf>
    <xf numFmtId="9" fontId="11" fillId="8" borderId="1" xfId="3" applyFont="1" applyFill="1" applyBorder="1" applyAlignment="1" applyProtection="1">
      <alignment horizontal="center" vertical="center"/>
    </xf>
    <xf numFmtId="0" fontId="0" fillId="3" borderId="1" xfId="0" applyFill="1" applyBorder="1" applyAlignment="1">
      <alignment horizontal="center" vertical="top"/>
    </xf>
    <xf numFmtId="7" fontId="0" fillId="2" borderId="0" xfId="0" applyNumberFormat="1" applyFill="1" applyAlignment="1">
      <alignment horizontal="center" vertical="center"/>
    </xf>
    <xf numFmtId="4" fontId="13" fillId="0" borderId="0" xfId="0" applyNumberFormat="1" applyFont="1"/>
    <xf numFmtId="44" fontId="0" fillId="0" borderId="0" xfId="2" applyFont="1"/>
    <xf numFmtId="0" fontId="15" fillId="2" borderId="0" xfId="0" applyFont="1" applyFill="1" applyAlignment="1">
      <alignment vertical="center"/>
    </xf>
    <xf numFmtId="0" fontId="14" fillId="2" borderId="0" xfId="0" applyFont="1" applyFill="1" applyAlignment="1">
      <alignment vertical="center"/>
    </xf>
    <xf numFmtId="0" fontId="14" fillId="2" borderId="0" xfId="0" applyFont="1" applyFill="1" applyAlignment="1">
      <alignment horizontal="left" vertical="center" indent="1"/>
    </xf>
    <xf numFmtId="0" fontId="16" fillId="2" borderId="0" xfId="0" applyFont="1" applyFill="1" applyAlignment="1">
      <alignment vertical="center"/>
    </xf>
    <xf numFmtId="0" fontId="18" fillId="9" borderId="0" xfId="0" applyFont="1" applyFill="1" applyAlignment="1">
      <alignment vertical="center"/>
    </xf>
    <xf numFmtId="0" fontId="4" fillId="9" borderId="0" xfId="0" applyFont="1" applyFill="1"/>
    <xf numFmtId="0" fontId="19" fillId="2" borderId="0" xfId="0" applyFont="1" applyFill="1" applyAlignment="1">
      <alignment horizontal="left" vertical="center" indent="1"/>
    </xf>
    <xf numFmtId="0" fontId="20" fillId="2" borderId="0" xfId="4" applyFont="1" applyFill="1" applyAlignment="1">
      <alignment vertical="center"/>
    </xf>
    <xf numFmtId="0" fontId="21" fillId="2" borderId="0" xfId="0" applyFont="1" applyFill="1" applyAlignment="1">
      <alignment horizontal="left" vertical="center" indent="1"/>
    </xf>
    <xf numFmtId="0" fontId="0" fillId="2" borderId="15" xfId="0" applyFill="1" applyBorder="1"/>
    <xf numFmtId="0" fontId="0" fillId="2" borderId="17" xfId="0" applyFill="1" applyBorder="1"/>
    <xf numFmtId="0" fontId="0" fillId="2" borderId="20" xfId="0" applyFill="1" applyBorder="1"/>
    <xf numFmtId="0" fontId="0" fillId="2" borderId="13" xfId="0" applyFill="1" applyBorder="1"/>
    <xf numFmtId="0" fontId="0" fillId="2" borderId="16" xfId="0" applyFill="1" applyBorder="1"/>
    <xf numFmtId="0" fontId="0" fillId="2" borderId="18" xfId="0" applyFill="1" applyBorder="1"/>
    <xf numFmtId="0" fontId="22" fillId="2" borderId="14"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19" xfId="0" applyFont="1" applyFill="1" applyBorder="1" applyAlignment="1">
      <alignment horizontal="center" vertical="center" wrapText="1"/>
    </xf>
    <xf numFmtId="0" fontId="2" fillId="5" borderId="0" xfId="0" applyFont="1" applyFill="1" applyAlignment="1">
      <alignment horizontal="center" vertical="center"/>
    </xf>
    <xf numFmtId="0" fontId="0" fillId="2" borderId="0" xfId="0" applyFill="1" applyAlignment="1">
      <alignment horizontal="right" vertical="center"/>
    </xf>
    <xf numFmtId="0" fontId="0" fillId="2" borderId="0" xfId="0" quotePrefix="1" applyFill="1" applyAlignment="1">
      <alignment horizontal="left" vertical="center" indent="9"/>
    </xf>
    <xf numFmtId="0" fontId="0" fillId="2" borderId="0" xfId="0" applyFill="1" applyAlignment="1">
      <alignment horizontal="left" vertical="center" indent="9"/>
    </xf>
    <xf numFmtId="0" fontId="0" fillId="2" borderId="4" xfId="0" applyFill="1" applyBorder="1" applyAlignment="1">
      <alignment horizontal="right" vertical="center"/>
    </xf>
    <xf numFmtId="168" fontId="0" fillId="2" borderId="4" xfId="2" applyNumberFormat="1" applyFont="1" applyFill="1" applyBorder="1" applyAlignment="1" applyProtection="1">
      <alignment horizontal="left" vertical="center" indent="9"/>
    </xf>
    <xf numFmtId="0" fontId="0" fillId="2" borderId="4" xfId="0" quotePrefix="1" applyFill="1" applyBorder="1" applyAlignment="1">
      <alignment horizontal="left" vertical="center" indent="9"/>
    </xf>
  </cellXfs>
  <cellStyles count="5">
    <cellStyle name="Comma" xfId="1" builtinId="3"/>
    <cellStyle name="Currency" xfId="2" builtinId="4"/>
    <cellStyle name="Hyperlink" xfId="4" builtinId="8"/>
    <cellStyle name="Normal" xfId="0" builtinId="0"/>
    <cellStyle name="Percent" xfId="3" builtinId="5"/>
  </cellStyles>
  <dxfs count="33">
    <dxf>
      <font>
        <b val="0"/>
        <i val="0"/>
        <color theme="0"/>
      </font>
      <fill>
        <patternFill>
          <bgColor theme="0"/>
        </patternFill>
      </fill>
      <border>
        <left/>
        <right/>
        <top/>
        <bottom/>
        <vertical/>
        <horizontal/>
      </border>
    </dxf>
    <dxf>
      <font>
        <b val="0"/>
        <i val="0"/>
        <color theme="0"/>
      </font>
      <fill>
        <patternFill>
          <bgColor theme="0"/>
        </patternFill>
      </fill>
      <border>
        <top/>
        <bottom style="thin">
          <color auto="1"/>
        </bottom>
        <vertical/>
        <horizontal/>
      </border>
    </dxf>
    <dxf>
      <font>
        <b val="0"/>
        <i val="0"/>
        <color theme="0"/>
      </font>
      <fill>
        <patternFill>
          <bgColor theme="0"/>
        </patternFill>
      </fill>
      <border>
        <left/>
        <right/>
        <top/>
        <bottom/>
      </border>
    </dxf>
    <dxf>
      <font>
        <b val="0"/>
        <i val="0"/>
        <color theme="0"/>
      </font>
      <border>
        <left/>
        <right/>
        <top/>
        <bottom/>
        <vertical/>
        <horizontal/>
      </border>
    </dxf>
    <dxf>
      <font>
        <color theme="0"/>
      </font>
      <fill>
        <patternFill>
          <bgColor theme="0"/>
        </patternFill>
      </fill>
      <border>
        <left/>
        <right/>
        <top/>
        <bottom/>
      </border>
    </dxf>
    <dxf>
      <font>
        <b val="0"/>
        <i val="0"/>
        <color theme="0"/>
      </font>
      <border>
        <left/>
        <right/>
        <top/>
        <bottom/>
        <vertical/>
        <horizontal/>
      </border>
    </dxf>
    <dxf>
      <font>
        <color theme="0"/>
      </font>
      <fill>
        <patternFill>
          <bgColor theme="0"/>
        </patternFill>
      </fill>
      <border>
        <left/>
        <right/>
        <top/>
        <bottom/>
      </border>
    </dxf>
    <dxf>
      <font>
        <b val="0"/>
        <i val="0"/>
        <color theme="0"/>
      </font>
      <border>
        <left/>
        <right/>
        <top/>
        <bottom/>
        <vertical/>
        <horizontal/>
      </border>
    </dxf>
    <dxf>
      <font>
        <color theme="0"/>
      </font>
      <fill>
        <patternFill>
          <bgColor theme="0"/>
        </patternFill>
      </fill>
      <border>
        <left/>
        <right/>
        <top/>
        <bottom/>
      </border>
    </dxf>
    <dxf>
      <fill>
        <patternFill patternType="solid">
          <fgColor indexed="64"/>
          <bgColor rgb="FFFDD9D3"/>
        </patternFill>
      </fill>
    </dxf>
    <dxf>
      <fill>
        <patternFill patternType="solid">
          <fgColor indexed="64"/>
          <bgColor rgb="FFFDD9D3"/>
        </patternFill>
      </fill>
    </dxf>
    <dxf>
      <fill>
        <patternFill patternType="solid">
          <fgColor indexed="64"/>
          <bgColor rgb="FFFDD9D3"/>
        </patternFill>
      </fill>
    </dxf>
    <dxf>
      <fill>
        <patternFill patternType="solid">
          <fgColor indexed="64"/>
          <bgColor rgb="FFFDD9D3"/>
        </patternFill>
      </fill>
    </dxf>
    <dxf>
      <fill>
        <patternFill patternType="solid">
          <fgColor indexed="64"/>
          <bgColor rgb="FFFDD9D3"/>
        </patternFill>
      </fill>
    </dxf>
    <dxf>
      <fill>
        <patternFill patternType="solid">
          <fgColor indexed="64"/>
          <bgColor rgb="FFFDD9D3"/>
        </patternFill>
      </fill>
    </dxf>
    <dxf>
      <fill>
        <patternFill patternType="solid">
          <fgColor indexed="64"/>
          <bgColor rgb="FFFDD9D3"/>
        </patternFill>
      </fill>
    </dxf>
    <dxf>
      <fill>
        <patternFill patternType="solid">
          <fgColor indexed="64"/>
          <bgColor rgb="FFFDD9D3"/>
        </patternFill>
      </fill>
    </dxf>
    <dxf>
      <fill>
        <patternFill>
          <bgColor rgb="FFFDD9D3"/>
        </patternFill>
      </fill>
    </dxf>
    <dxf>
      <fill>
        <patternFill>
          <bgColor rgb="FFFDD9D3"/>
        </patternFill>
      </fill>
    </dxf>
    <dxf>
      <fill>
        <patternFill>
          <bgColor rgb="FFFDD9D3"/>
        </patternFill>
      </fill>
    </dxf>
    <dxf>
      <fill>
        <patternFill>
          <bgColor rgb="FFFDD9D3"/>
        </patternFill>
      </fill>
    </dxf>
    <dxf>
      <fill>
        <patternFill>
          <bgColor rgb="FFFDD9D3"/>
        </patternFill>
      </fill>
    </dxf>
    <dxf>
      <fill>
        <patternFill>
          <bgColor rgb="FFFDD9D3"/>
        </patternFill>
      </fill>
    </dxf>
    <dxf>
      <fill>
        <patternFill>
          <bgColor rgb="FFFDD9D3"/>
        </patternFill>
      </fill>
    </dxf>
    <dxf>
      <fill>
        <patternFill>
          <bgColor rgb="FFFDD9D3"/>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colors>
    <mruColors>
      <color rgb="FFFDD9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190500</xdr:colOff>
      <xdr:row>9</xdr:row>
      <xdr:rowOff>47625</xdr:rowOff>
    </xdr:from>
    <xdr:to>
      <xdr:col>10</xdr:col>
      <xdr:colOff>592734</xdr:colOff>
      <xdr:row>15</xdr:row>
      <xdr:rowOff>185854</xdr:rowOff>
    </xdr:to>
    <xdr:pic>
      <xdr:nvPicPr>
        <xdr:cNvPr id="2" name="Picture 1">
          <a:extLst>
            <a:ext uri="{FF2B5EF4-FFF2-40B4-BE49-F238E27FC236}">
              <a16:creationId xmlns:a16="http://schemas.microsoft.com/office/drawing/2014/main" id="{F908C7DA-7575-F34A-A623-A56CA17F8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1590675"/>
          <a:ext cx="6774459" cy="1281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esik, Karina" refreshedDate="46002.620328356483" createdVersion="8" refreshedVersion="8" minRefreshableVersion="3" recordCount="48" xr:uid="{B630FD74-56B2-4D24-BB9B-D04C113B1C5D}">
  <cacheSource type="worksheet">
    <worksheetSource ref="C4:G52" sheet="Rates"/>
  </cacheSource>
  <cacheFields count="5">
    <cacheField name="Zoning District" numFmtId="0">
      <sharedItems count="3">
        <s v="R6"/>
        <s v="R7"/>
        <s v="R8"/>
      </sharedItems>
    </cacheField>
    <cacheField name="Starta or Rental" numFmtId="0">
      <sharedItems count="2">
        <s v="Market Strata"/>
        <s v="Market Rental"/>
      </sharedItems>
    </cacheField>
    <cacheField name="Unit of Measurement" numFmtId="0">
      <sharedItems count="2">
        <s v="sq.m"/>
        <s v="sq.ft"/>
      </sharedItems>
    </cacheField>
    <cacheField name="Quadrant" numFmtId="0">
      <sharedItems count="4">
        <s v="NW Quadrant"/>
        <s v="NE Quadrant"/>
        <s v="SW Quadrant"/>
        <s v="SE Quadrant"/>
      </sharedItems>
    </cacheField>
    <cacheField name="Rate" numFmtId="44">
      <sharedItems containsSemiMixedTypes="0" containsString="0" containsNumber="1" containsInteger="1" minValue="105" maxValue="1992" count="12">
        <n v="1615"/>
        <n v="1507"/>
        <n v="1992"/>
        <n v="150"/>
        <n v="140"/>
        <n v="185"/>
        <n v="1217"/>
        <n v="1131"/>
        <n v="1594"/>
        <n v="113"/>
        <n v="105"/>
        <n v="148"/>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x v="0"/>
    <x v="0"/>
    <x v="0"/>
    <x v="0"/>
    <x v="0"/>
  </r>
  <r>
    <x v="0"/>
    <x v="0"/>
    <x v="0"/>
    <x v="1"/>
    <x v="1"/>
  </r>
  <r>
    <x v="0"/>
    <x v="0"/>
    <x v="0"/>
    <x v="2"/>
    <x v="2"/>
  </r>
  <r>
    <x v="0"/>
    <x v="0"/>
    <x v="0"/>
    <x v="3"/>
    <x v="1"/>
  </r>
  <r>
    <x v="0"/>
    <x v="0"/>
    <x v="1"/>
    <x v="0"/>
    <x v="3"/>
  </r>
  <r>
    <x v="0"/>
    <x v="0"/>
    <x v="1"/>
    <x v="1"/>
    <x v="4"/>
  </r>
  <r>
    <x v="0"/>
    <x v="0"/>
    <x v="1"/>
    <x v="2"/>
    <x v="5"/>
  </r>
  <r>
    <x v="0"/>
    <x v="0"/>
    <x v="1"/>
    <x v="3"/>
    <x v="4"/>
  </r>
  <r>
    <x v="0"/>
    <x v="1"/>
    <x v="0"/>
    <x v="0"/>
    <x v="6"/>
  </r>
  <r>
    <x v="0"/>
    <x v="1"/>
    <x v="0"/>
    <x v="1"/>
    <x v="7"/>
  </r>
  <r>
    <x v="0"/>
    <x v="1"/>
    <x v="0"/>
    <x v="2"/>
    <x v="8"/>
  </r>
  <r>
    <x v="0"/>
    <x v="1"/>
    <x v="0"/>
    <x v="3"/>
    <x v="7"/>
  </r>
  <r>
    <x v="0"/>
    <x v="1"/>
    <x v="1"/>
    <x v="0"/>
    <x v="9"/>
  </r>
  <r>
    <x v="0"/>
    <x v="1"/>
    <x v="1"/>
    <x v="1"/>
    <x v="10"/>
  </r>
  <r>
    <x v="0"/>
    <x v="1"/>
    <x v="1"/>
    <x v="2"/>
    <x v="11"/>
  </r>
  <r>
    <x v="0"/>
    <x v="1"/>
    <x v="1"/>
    <x v="3"/>
    <x v="10"/>
  </r>
  <r>
    <x v="1"/>
    <x v="0"/>
    <x v="0"/>
    <x v="0"/>
    <x v="0"/>
  </r>
  <r>
    <x v="1"/>
    <x v="0"/>
    <x v="0"/>
    <x v="1"/>
    <x v="1"/>
  </r>
  <r>
    <x v="1"/>
    <x v="0"/>
    <x v="0"/>
    <x v="2"/>
    <x v="2"/>
  </r>
  <r>
    <x v="1"/>
    <x v="0"/>
    <x v="0"/>
    <x v="3"/>
    <x v="1"/>
  </r>
  <r>
    <x v="1"/>
    <x v="0"/>
    <x v="1"/>
    <x v="0"/>
    <x v="3"/>
  </r>
  <r>
    <x v="1"/>
    <x v="0"/>
    <x v="1"/>
    <x v="1"/>
    <x v="4"/>
  </r>
  <r>
    <x v="1"/>
    <x v="0"/>
    <x v="1"/>
    <x v="2"/>
    <x v="5"/>
  </r>
  <r>
    <x v="1"/>
    <x v="0"/>
    <x v="1"/>
    <x v="3"/>
    <x v="4"/>
  </r>
  <r>
    <x v="1"/>
    <x v="1"/>
    <x v="0"/>
    <x v="0"/>
    <x v="6"/>
  </r>
  <r>
    <x v="1"/>
    <x v="1"/>
    <x v="0"/>
    <x v="1"/>
    <x v="7"/>
  </r>
  <r>
    <x v="1"/>
    <x v="1"/>
    <x v="0"/>
    <x v="2"/>
    <x v="8"/>
  </r>
  <r>
    <x v="1"/>
    <x v="1"/>
    <x v="0"/>
    <x v="3"/>
    <x v="7"/>
  </r>
  <r>
    <x v="1"/>
    <x v="1"/>
    <x v="1"/>
    <x v="0"/>
    <x v="9"/>
  </r>
  <r>
    <x v="1"/>
    <x v="1"/>
    <x v="1"/>
    <x v="1"/>
    <x v="10"/>
  </r>
  <r>
    <x v="1"/>
    <x v="1"/>
    <x v="1"/>
    <x v="2"/>
    <x v="11"/>
  </r>
  <r>
    <x v="1"/>
    <x v="1"/>
    <x v="1"/>
    <x v="3"/>
    <x v="10"/>
  </r>
  <r>
    <x v="2"/>
    <x v="0"/>
    <x v="0"/>
    <x v="0"/>
    <x v="0"/>
  </r>
  <r>
    <x v="2"/>
    <x v="0"/>
    <x v="0"/>
    <x v="1"/>
    <x v="1"/>
  </r>
  <r>
    <x v="2"/>
    <x v="0"/>
    <x v="0"/>
    <x v="2"/>
    <x v="2"/>
  </r>
  <r>
    <x v="2"/>
    <x v="0"/>
    <x v="0"/>
    <x v="3"/>
    <x v="1"/>
  </r>
  <r>
    <x v="2"/>
    <x v="0"/>
    <x v="1"/>
    <x v="0"/>
    <x v="3"/>
  </r>
  <r>
    <x v="2"/>
    <x v="0"/>
    <x v="1"/>
    <x v="1"/>
    <x v="4"/>
  </r>
  <r>
    <x v="2"/>
    <x v="0"/>
    <x v="1"/>
    <x v="2"/>
    <x v="5"/>
  </r>
  <r>
    <x v="2"/>
    <x v="0"/>
    <x v="1"/>
    <x v="3"/>
    <x v="4"/>
  </r>
  <r>
    <x v="2"/>
    <x v="1"/>
    <x v="0"/>
    <x v="0"/>
    <x v="6"/>
  </r>
  <r>
    <x v="2"/>
    <x v="1"/>
    <x v="0"/>
    <x v="1"/>
    <x v="7"/>
  </r>
  <r>
    <x v="2"/>
    <x v="1"/>
    <x v="0"/>
    <x v="2"/>
    <x v="8"/>
  </r>
  <r>
    <x v="2"/>
    <x v="1"/>
    <x v="0"/>
    <x v="3"/>
    <x v="7"/>
  </r>
  <r>
    <x v="2"/>
    <x v="1"/>
    <x v="1"/>
    <x v="0"/>
    <x v="9"/>
  </r>
  <r>
    <x v="2"/>
    <x v="1"/>
    <x v="1"/>
    <x v="1"/>
    <x v="10"/>
  </r>
  <r>
    <x v="2"/>
    <x v="1"/>
    <x v="1"/>
    <x v="2"/>
    <x v="11"/>
  </r>
  <r>
    <x v="2"/>
    <x v="1"/>
    <x v="1"/>
    <x v="3"/>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B768CB2-CC24-4599-B66F-B2691AAE5FD4}" name="PivotTable19"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3:E51" firstHeaderRow="1" firstDataRow="1" firstDataCol="5"/>
  <pivotFields count="5">
    <pivotField axis="axisRow" compact="0" outline="0" showAll="0" defaultSubtotal="0">
      <items count="3">
        <item x="0"/>
        <item x="1"/>
        <item x="2"/>
      </items>
      <extLst>
        <ext xmlns:x14="http://schemas.microsoft.com/office/spreadsheetml/2009/9/main" uri="{2946ED86-A175-432a-8AC1-64E0C546D7DE}">
          <x14:pivotField fillDownLabels="1"/>
        </ext>
      </extLst>
    </pivotField>
    <pivotField axis="axisRow" compact="0" outline="0" showAll="0" defaultSubtotal="0">
      <items count="2">
        <item x="1"/>
        <item x="0"/>
      </items>
      <extLst>
        <ext xmlns:x14="http://schemas.microsoft.com/office/spreadsheetml/2009/9/main" uri="{2946ED86-A175-432a-8AC1-64E0C546D7DE}">
          <x14:pivotField fillDownLabels="1"/>
        </ext>
      </extLst>
    </pivotField>
    <pivotField axis="axisRow" compact="0" outline="0" showAll="0" defaultSubtotal="0">
      <items count="2">
        <item x="1"/>
        <item x="0"/>
      </items>
      <extLst>
        <ext xmlns:x14="http://schemas.microsoft.com/office/spreadsheetml/2009/9/main" uri="{2946ED86-A175-432a-8AC1-64E0C546D7DE}">
          <x14:pivotField fillDownLabels="1"/>
        </ext>
      </extLst>
    </pivotField>
    <pivotField axis="axisRow" compact="0" outline="0" showAll="0" defaultSubtotal="0">
      <items count="4">
        <item x="1"/>
        <item x="0"/>
        <item x="3"/>
        <item x="2"/>
      </items>
      <extLst>
        <ext xmlns:x14="http://schemas.microsoft.com/office/spreadsheetml/2009/9/main" uri="{2946ED86-A175-432a-8AC1-64E0C546D7DE}">
          <x14:pivotField fillDownLabels="1"/>
        </ext>
      </extLst>
    </pivotField>
    <pivotField axis="axisRow" compact="0" numFmtId="44" outline="0" showAll="0" defaultSubtotal="0">
      <items count="12">
        <item x="10"/>
        <item x="9"/>
        <item x="4"/>
        <item x="11"/>
        <item x="3"/>
        <item x="5"/>
        <item x="7"/>
        <item x="6"/>
        <item x="1"/>
        <item x="8"/>
        <item x="0"/>
        <item x="2"/>
      </items>
      <extLst>
        <ext xmlns:x14="http://schemas.microsoft.com/office/spreadsheetml/2009/9/main" uri="{2946ED86-A175-432a-8AC1-64E0C546D7DE}">
          <x14:pivotField fillDownLabels="1"/>
        </ext>
      </extLst>
    </pivotField>
  </pivotFields>
  <rowFields count="5">
    <field x="4"/>
    <field x="2"/>
    <field x="1"/>
    <field x="3"/>
    <field x="0"/>
  </rowFields>
  <rowItems count="48">
    <i>
      <x/>
      <x/>
      <x/>
      <x/>
      <x/>
    </i>
    <i r="4">
      <x v="1"/>
    </i>
    <i r="4">
      <x v="2"/>
    </i>
    <i r="3">
      <x v="2"/>
      <x/>
    </i>
    <i r="4">
      <x v="1"/>
    </i>
    <i r="4">
      <x v="2"/>
    </i>
    <i>
      <x v="1"/>
      <x/>
      <x/>
      <x v="1"/>
      <x/>
    </i>
    <i r="4">
      <x v="1"/>
    </i>
    <i r="4">
      <x v="2"/>
    </i>
    <i>
      <x v="2"/>
      <x/>
      <x v="1"/>
      <x/>
      <x/>
    </i>
    <i r="4">
      <x v="1"/>
    </i>
    <i r="4">
      <x v="2"/>
    </i>
    <i r="3">
      <x v="2"/>
      <x/>
    </i>
    <i r="4">
      <x v="1"/>
    </i>
    <i r="4">
      <x v="2"/>
    </i>
    <i>
      <x v="3"/>
      <x/>
      <x/>
      <x v="3"/>
      <x/>
    </i>
    <i r="4">
      <x v="1"/>
    </i>
    <i r="4">
      <x v="2"/>
    </i>
    <i>
      <x v="4"/>
      <x/>
      <x v="1"/>
      <x v="1"/>
      <x/>
    </i>
    <i r="4">
      <x v="1"/>
    </i>
    <i r="4">
      <x v="2"/>
    </i>
    <i>
      <x v="5"/>
      <x/>
      <x v="1"/>
      <x v="3"/>
      <x/>
    </i>
    <i r="4">
      <x v="1"/>
    </i>
    <i r="4">
      <x v="2"/>
    </i>
    <i>
      <x v="6"/>
      <x v="1"/>
      <x/>
      <x/>
      <x/>
    </i>
    <i r="4">
      <x v="1"/>
    </i>
    <i r="4">
      <x v="2"/>
    </i>
    <i r="3">
      <x v="2"/>
      <x/>
    </i>
    <i r="4">
      <x v="1"/>
    </i>
    <i r="4">
      <x v="2"/>
    </i>
    <i>
      <x v="7"/>
      <x v="1"/>
      <x/>
      <x v="1"/>
      <x/>
    </i>
    <i r="4">
      <x v="1"/>
    </i>
    <i r="4">
      <x v="2"/>
    </i>
    <i>
      <x v="8"/>
      <x v="1"/>
      <x v="1"/>
      <x/>
      <x/>
    </i>
    <i r="4">
      <x v="1"/>
    </i>
    <i r="4">
      <x v="2"/>
    </i>
    <i r="3">
      <x v="2"/>
      <x/>
    </i>
    <i r="4">
      <x v="1"/>
    </i>
    <i r="4">
      <x v="2"/>
    </i>
    <i>
      <x v="9"/>
      <x v="1"/>
      <x/>
      <x v="3"/>
      <x/>
    </i>
    <i r="4">
      <x v="1"/>
    </i>
    <i r="4">
      <x v="2"/>
    </i>
    <i>
      <x v="10"/>
      <x v="1"/>
      <x v="1"/>
      <x v="1"/>
      <x/>
    </i>
    <i r="4">
      <x v="1"/>
    </i>
    <i r="4">
      <x v="2"/>
    </i>
    <i>
      <x v="11"/>
      <x v="1"/>
      <x v="1"/>
      <x v="3"/>
      <x/>
    </i>
    <i r="4">
      <x v="1"/>
    </i>
    <i r="4">
      <x v="2"/>
    </i>
  </rowItems>
  <colItems count="1">
    <i/>
  </colItems>
  <formats count="24">
    <format dxfId="32">
      <pivotArea dataOnly="0" labelOnly="1" outline="0" fieldPosition="0">
        <references count="1">
          <reference field="4" count="2">
            <x v="0"/>
            <x v="1"/>
          </reference>
        </references>
      </pivotArea>
    </format>
    <format dxfId="31">
      <pivotArea dataOnly="0" labelOnly="1" outline="0" offset="IV1:IV9" fieldPosition="0">
        <references count="2">
          <reference field="2" count="1">
            <x v="0"/>
          </reference>
          <reference field="4" count="1" selected="0">
            <x v="0"/>
          </reference>
        </references>
      </pivotArea>
    </format>
    <format dxfId="30">
      <pivotArea dataOnly="0" labelOnly="1" outline="0" fieldPosition="0">
        <references count="3">
          <reference field="1" count="1">
            <x v="0"/>
          </reference>
          <reference field="2" count="1" selected="0">
            <x v="0"/>
          </reference>
          <reference field="4" count="1" selected="0">
            <x v="0"/>
          </reference>
        </references>
      </pivotArea>
    </format>
    <format dxfId="29">
      <pivotArea dataOnly="0" labelOnly="1" outline="0" fieldPosition="0">
        <references count="4">
          <reference field="1" count="1" selected="0">
            <x v="0"/>
          </reference>
          <reference field="2" count="1" selected="0">
            <x v="0"/>
          </reference>
          <reference field="3" count="2">
            <x v="0"/>
            <x v="2"/>
          </reference>
          <reference field="4" count="1" selected="0">
            <x v="0"/>
          </reference>
        </references>
      </pivotArea>
    </format>
    <format dxfId="28">
      <pivotArea dataOnly="0" labelOnly="1" outline="0" fieldPosition="0">
        <references count="4">
          <reference field="1" count="1" selected="0">
            <x v="0"/>
          </reference>
          <reference field="2" count="1" selected="0">
            <x v="0"/>
          </reference>
          <reference field="3" count="1">
            <x v="1"/>
          </reference>
          <reference field="4" count="1" selected="0">
            <x v="1"/>
          </reference>
        </references>
      </pivotArea>
    </format>
    <format dxfId="27">
      <pivotArea dataOnly="0" labelOnly="1" outline="0" fieldPosition="0">
        <references count="5">
          <reference field="0" count="0"/>
          <reference field="1" count="1" selected="0">
            <x v="0"/>
          </reference>
          <reference field="2" count="1" selected="0">
            <x v="0"/>
          </reference>
          <reference field="3" count="1" selected="0">
            <x v="0"/>
          </reference>
          <reference field="4" count="1" selected="0">
            <x v="0"/>
          </reference>
        </references>
      </pivotArea>
    </format>
    <format dxfId="26">
      <pivotArea dataOnly="0" labelOnly="1" outline="0" fieldPosition="0">
        <references count="5">
          <reference field="0" count="0"/>
          <reference field="1" count="1" selected="0">
            <x v="0"/>
          </reference>
          <reference field="2" count="1" selected="0">
            <x v="0"/>
          </reference>
          <reference field="3" count="1" selected="0">
            <x v="2"/>
          </reference>
          <reference field="4" count="1" selected="0">
            <x v="0"/>
          </reference>
        </references>
      </pivotArea>
    </format>
    <format dxfId="25">
      <pivotArea dataOnly="0" labelOnly="1" outline="0" fieldPosition="0">
        <references count="5">
          <reference field="0" count="0"/>
          <reference field="1" count="1" selected="0">
            <x v="0"/>
          </reference>
          <reference field="2" count="1" selected="0">
            <x v="0"/>
          </reference>
          <reference field="3" count="1" selected="0">
            <x v="1"/>
          </reference>
          <reference field="4" count="1" selected="0">
            <x v="1"/>
          </reference>
        </references>
      </pivotArea>
    </format>
    <format dxfId="24">
      <pivotArea dataOnly="0" labelOnly="1" outline="0" fieldPosition="0">
        <references count="1">
          <reference field="4" count="2">
            <x v="0"/>
            <x v="1"/>
          </reference>
        </references>
      </pivotArea>
    </format>
    <format dxfId="23">
      <pivotArea dataOnly="0" labelOnly="1" outline="0" offset="IV1:IV9" fieldPosition="0">
        <references count="2">
          <reference field="2" count="1">
            <x v="0"/>
          </reference>
          <reference field="4" count="1" selected="0">
            <x v="0"/>
          </reference>
        </references>
      </pivotArea>
    </format>
    <format dxfId="22">
      <pivotArea dataOnly="0" labelOnly="1" outline="0" fieldPosition="0">
        <references count="3">
          <reference field="1" count="1">
            <x v="0"/>
          </reference>
          <reference field="2" count="1" selected="0">
            <x v="0"/>
          </reference>
          <reference field="4" count="1" selected="0">
            <x v="0"/>
          </reference>
        </references>
      </pivotArea>
    </format>
    <format dxfId="21">
      <pivotArea dataOnly="0" labelOnly="1" outline="0" fieldPosition="0">
        <references count="4">
          <reference field="1" count="1" selected="0">
            <x v="0"/>
          </reference>
          <reference field="2" count="1" selected="0">
            <x v="0"/>
          </reference>
          <reference field="3" count="2">
            <x v="0"/>
            <x v="2"/>
          </reference>
          <reference field="4" count="1" selected="0">
            <x v="0"/>
          </reference>
        </references>
      </pivotArea>
    </format>
    <format dxfId="20">
      <pivotArea dataOnly="0" labelOnly="1" outline="0" fieldPosition="0">
        <references count="4">
          <reference field="1" count="1" selected="0">
            <x v="0"/>
          </reference>
          <reference field="2" count="1" selected="0">
            <x v="0"/>
          </reference>
          <reference field="3" count="1">
            <x v="1"/>
          </reference>
          <reference field="4" count="1" selected="0">
            <x v="1"/>
          </reference>
        </references>
      </pivotArea>
    </format>
    <format dxfId="19">
      <pivotArea dataOnly="0" labelOnly="1" outline="0" fieldPosition="0">
        <references count="5">
          <reference field="0" count="0"/>
          <reference field="1" count="1" selected="0">
            <x v="0"/>
          </reference>
          <reference field="2" count="1" selected="0">
            <x v="0"/>
          </reference>
          <reference field="3" count="1" selected="0">
            <x v="0"/>
          </reference>
          <reference field="4" count="1" selected="0">
            <x v="0"/>
          </reference>
        </references>
      </pivotArea>
    </format>
    <format dxfId="18">
      <pivotArea dataOnly="0" labelOnly="1" outline="0" fieldPosition="0">
        <references count="5">
          <reference field="0" count="0"/>
          <reference field="1" count="1" selected="0">
            <x v="0"/>
          </reference>
          <reference field="2" count="1" selected="0">
            <x v="0"/>
          </reference>
          <reference field="3" count="1" selected="0">
            <x v="2"/>
          </reference>
          <reference field="4" count="1" selected="0">
            <x v="0"/>
          </reference>
        </references>
      </pivotArea>
    </format>
    <format dxfId="17">
      <pivotArea dataOnly="0" labelOnly="1" outline="0" fieldPosition="0">
        <references count="5">
          <reference field="0" count="0"/>
          <reference field="1" count="1" selected="0">
            <x v="0"/>
          </reference>
          <reference field="2" count="1" selected="0">
            <x v="0"/>
          </reference>
          <reference field="3" count="1" selected="0">
            <x v="1"/>
          </reference>
          <reference field="4" count="1" selected="0">
            <x v="1"/>
          </reference>
        </references>
      </pivotArea>
    </format>
    <format dxfId="16">
      <pivotArea dataOnly="0" labelOnly="1" outline="0" fieldPosition="0">
        <references count="1">
          <reference field="4" count="2">
            <x v="6"/>
            <x v="7"/>
          </reference>
        </references>
      </pivotArea>
    </format>
    <format dxfId="15">
      <pivotArea dataOnly="0" labelOnly="1" outline="0" offset="IV1:IV9" fieldPosition="0">
        <references count="2">
          <reference field="2" count="1">
            <x v="1"/>
          </reference>
          <reference field="4" count="1" selected="0">
            <x v="6"/>
          </reference>
        </references>
      </pivotArea>
    </format>
    <format dxfId="14">
      <pivotArea dataOnly="0" labelOnly="1" outline="0" fieldPosition="0">
        <references count="3">
          <reference field="1" count="1">
            <x v="0"/>
          </reference>
          <reference field="2" count="1" selected="0">
            <x v="1"/>
          </reference>
          <reference field="4" count="1" selected="0">
            <x v="6"/>
          </reference>
        </references>
      </pivotArea>
    </format>
    <format dxfId="13">
      <pivotArea dataOnly="0" labelOnly="1" outline="0" fieldPosition="0">
        <references count="4">
          <reference field="1" count="1" selected="0">
            <x v="0"/>
          </reference>
          <reference field="2" count="1" selected="0">
            <x v="1"/>
          </reference>
          <reference field="3" count="2">
            <x v="0"/>
            <x v="2"/>
          </reference>
          <reference field="4" count="1" selected="0">
            <x v="6"/>
          </reference>
        </references>
      </pivotArea>
    </format>
    <format dxfId="12">
      <pivotArea dataOnly="0" labelOnly="1" outline="0" fieldPosition="0">
        <references count="4">
          <reference field="1" count="1" selected="0">
            <x v="0"/>
          </reference>
          <reference field="2" count="1" selected="0">
            <x v="1"/>
          </reference>
          <reference field="3" count="1">
            <x v="1"/>
          </reference>
          <reference field="4" count="1" selected="0">
            <x v="7"/>
          </reference>
        </references>
      </pivotArea>
    </format>
    <format dxfId="11">
      <pivotArea dataOnly="0" labelOnly="1" outline="0" fieldPosition="0">
        <references count="5">
          <reference field="0" count="0"/>
          <reference field="1" count="1" selected="0">
            <x v="0"/>
          </reference>
          <reference field="2" count="1" selected="0">
            <x v="1"/>
          </reference>
          <reference field="3" count="1" selected="0">
            <x v="0"/>
          </reference>
          <reference field="4" count="1" selected="0">
            <x v="6"/>
          </reference>
        </references>
      </pivotArea>
    </format>
    <format dxfId="10">
      <pivotArea dataOnly="0" labelOnly="1" outline="0" fieldPosition="0">
        <references count="5">
          <reference field="0" count="0"/>
          <reference field="1" count="1" selected="0">
            <x v="0"/>
          </reference>
          <reference field="2" count="1" selected="0">
            <x v="1"/>
          </reference>
          <reference field="3" count="1" selected="0">
            <x v="2"/>
          </reference>
          <reference field="4" count="1" selected="0">
            <x v="6"/>
          </reference>
        </references>
      </pivotArea>
    </format>
    <format dxfId="9">
      <pivotArea dataOnly="0" labelOnly="1" outline="0" fieldPosition="0">
        <references count="5">
          <reference field="0" count="0"/>
          <reference field="1" count="1" selected="0">
            <x v="0"/>
          </reference>
          <reference field="2" count="1" selected="0">
            <x v="1"/>
          </reference>
          <reference field="3" count="1" selected="0">
            <x v="1"/>
          </reference>
          <reference field="4" count="1" selected="0">
            <x v="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burnaby.ca/our-city/programs-and-policies/community-benefit-bonus-policy-and-bylaw"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ABD79-E93B-4797-BB49-D9C93A176A35}">
  <dimension ref="B1:Q67"/>
  <sheetViews>
    <sheetView zoomScale="55" zoomScaleNormal="55" zoomScaleSheetLayoutView="70" workbookViewId="0">
      <selection activeCell="Q35" sqref="Q35"/>
    </sheetView>
  </sheetViews>
  <sheetFormatPr defaultColWidth="9" defaultRowHeight="15" x14ac:dyDescent="0.25"/>
  <cols>
    <col min="1" max="1" width="7" style="1" customWidth="1"/>
    <col min="2" max="2" width="2.85546875" style="1" customWidth="1"/>
    <col min="3" max="3" width="50.140625" style="41" customWidth="1"/>
    <col min="4" max="4" width="3.5703125" style="41" customWidth="1"/>
    <col min="5" max="5" width="57.5703125" style="41" customWidth="1"/>
    <col min="6" max="6" width="1" style="41" customWidth="1"/>
    <col min="7" max="7" width="31.7109375" style="41" customWidth="1"/>
    <col min="8" max="8" width="50.5703125" style="41" customWidth="1"/>
    <col min="9" max="9" width="2.85546875" style="1" customWidth="1"/>
    <col min="10" max="10" width="5.140625" style="1" customWidth="1"/>
    <col min="11" max="11" width="9" style="1"/>
    <col min="12" max="12" width="50.140625" style="41" customWidth="1"/>
    <col min="13" max="13" width="3.5703125" style="41" customWidth="1"/>
    <col min="14" max="14" width="57.5703125" style="41" customWidth="1"/>
    <col min="15" max="15" width="1" style="41" customWidth="1"/>
    <col min="16" max="16" width="31.7109375" style="41" customWidth="1"/>
    <col min="17" max="17" width="50.5703125" style="41" customWidth="1"/>
    <col min="18" max="16384" width="9" style="1"/>
  </cols>
  <sheetData>
    <row r="1" spans="2:17" ht="6.75" customHeight="1" x14ac:dyDescent="0.25"/>
    <row r="2" spans="2:17" ht="15" customHeight="1" x14ac:dyDescent="0.25">
      <c r="C2" s="42" t="s">
        <v>0</v>
      </c>
      <c r="D2" s="43"/>
      <c r="E2" s="11">
        <v>46023</v>
      </c>
      <c r="F2" s="44">
        <v>1</v>
      </c>
      <c r="G2" s="44">
        <v>1</v>
      </c>
      <c r="H2" s="44">
        <v>1</v>
      </c>
      <c r="L2" s="42" t="s">
        <v>0</v>
      </c>
      <c r="M2" s="43"/>
      <c r="N2" s="11">
        <v>46023</v>
      </c>
      <c r="O2" s="44">
        <v>1</v>
      </c>
      <c r="P2" s="44">
        <v>1</v>
      </c>
      <c r="Q2" s="44">
        <v>1</v>
      </c>
    </row>
    <row r="3" spans="2:17" ht="3" customHeight="1" x14ac:dyDescent="0.25">
      <c r="C3" s="45"/>
      <c r="D3" s="43"/>
      <c r="E3" s="44">
        <v>1</v>
      </c>
      <c r="F3" s="44">
        <v>1</v>
      </c>
      <c r="G3" s="44">
        <v>1</v>
      </c>
      <c r="H3" s="44">
        <v>1</v>
      </c>
      <c r="L3" s="45"/>
      <c r="M3" s="43"/>
      <c r="N3" s="44">
        <v>1</v>
      </c>
      <c r="O3" s="44">
        <v>1</v>
      </c>
      <c r="P3" s="44">
        <v>1</v>
      </c>
      <c r="Q3" s="44">
        <v>1</v>
      </c>
    </row>
    <row r="4" spans="2:17" ht="15" customHeight="1" x14ac:dyDescent="0.25">
      <c r="C4" s="42" t="s">
        <v>5</v>
      </c>
      <c r="D4" s="43"/>
      <c r="E4" s="12" t="s">
        <v>41</v>
      </c>
      <c r="F4" s="44">
        <v>1</v>
      </c>
      <c r="G4" s="42" t="s">
        <v>6</v>
      </c>
      <c r="H4" s="12" t="s">
        <v>2</v>
      </c>
      <c r="L4" s="42" t="s">
        <v>5</v>
      </c>
      <c r="M4" s="43"/>
      <c r="N4" s="12" t="s">
        <v>42</v>
      </c>
      <c r="O4" s="44">
        <v>1</v>
      </c>
      <c r="P4" s="42" t="s">
        <v>6</v>
      </c>
      <c r="Q4" s="12" t="s">
        <v>2</v>
      </c>
    </row>
    <row r="5" spans="2:17" ht="3" customHeight="1" x14ac:dyDescent="0.25">
      <c r="E5" s="44">
        <v>1</v>
      </c>
      <c r="F5" s="44">
        <v>1</v>
      </c>
      <c r="G5" s="44">
        <v>1</v>
      </c>
      <c r="H5" s="44">
        <v>1</v>
      </c>
      <c r="N5" s="44">
        <v>1</v>
      </c>
      <c r="O5" s="44">
        <v>1</v>
      </c>
      <c r="P5" s="44">
        <v>1</v>
      </c>
      <c r="Q5" s="44">
        <v>1</v>
      </c>
    </row>
    <row r="6" spans="2:17" ht="15" customHeight="1" x14ac:dyDescent="0.25">
      <c r="C6" s="42" t="s">
        <v>31</v>
      </c>
      <c r="D6" s="43"/>
      <c r="E6" s="12" t="s">
        <v>9</v>
      </c>
      <c r="F6" s="44">
        <v>1</v>
      </c>
      <c r="G6" s="42" t="s">
        <v>22</v>
      </c>
      <c r="H6" s="12" t="s">
        <v>20</v>
      </c>
      <c r="L6" s="42" t="s">
        <v>31</v>
      </c>
      <c r="M6" s="43"/>
      <c r="N6" s="12" t="s">
        <v>8</v>
      </c>
      <c r="O6" s="44">
        <v>1</v>
      </c>
      <c r="P6" s="42" t="s">
        <v>22</v>
      </c>
      <c r="Q6" s="12" t="s">
        <v>51</v>
      </c>
    </row>
    <row r="7" spans="2:17" ht="3" customHeight="1" x14ac:dyDescent="0.25">
      <c r="C7" s="45"/>
      <c r="D7" s="43"/>
      <c r="E7" s="44">
        <v>1</v>
      </c>
      <c r="F7" s="44">
        <v>1</v>
      </c>
      <c r="G7" s="46">
        <v>1</v>
      </c>
      <c r="H7" s="44">
        <v>1</v>
      </c>
      <c r="L7" s="45"/>
      <c r="M7" s="43"/>
      <c r="N7" s="44">
        <v>1</v>
      </c>
      <c r="O7" s="44">
        <v>1</v>
      </c>
      <c r="P7" s="46">
        <v>1</v>
      </c>
      <c r="Q7" s="44">
        <v>1</v>
      </c>
    </row>
    <row r="8" spans="2:17" ht="15" customHeight="1" x14ac:dyDescent="0.25">
      <c r="B8" s="25"/>
      <c r="C8" s="42" t="s">
        <v>30</v>
      </c>
      <c r="D8" s="43"/>
      <c r="E8" s="12" t="s">
        <v>12</v>
      </c>
      <c r="F8" s="44">
        <v>1</v>
      </c>
      <c r="G8" s="44">
        <v>1</v>
      </c>
      <c r="H8" s="44">
        <v>1</v>
      </c>
      <c r="I8" s="25"/>
      <c r="L8" s="42" t="s">
        <v>30</v>
      </c>
      <c r="M8" s="43"/>
      <c r="N8" s="12" t="s">
        <v>12</v>
      </c>
      <c r="O8" s="44">
        <v>1</v>
      </c>
      <c r="P8" s="44">
        <v>1</v>
      </c>
      <c r="Q8" s="44">
        <v>1</v>
      </c>
    </row>
    <row r="9" spans="2:17" ht="3" customHeight="1" x14ac:dyDescent="0.25">
      <c r="C9" s="45"/>
      <c r="D9" s="43"/>
      <c r="E9" s="44">
        <v>1</v>
      </c>
      <c r="F9" s="44">
        <v>1</v>
      </c>
      <c r="G9" s="46">
        <v>1</v>
      </c>
      <c r="H9" s="44">
        <v>1</v>
      </c>
      <c r="L9" s="45"/>
      <c r="M9" s="43"/>
      <c r="N9" s="44">
        <v>1</v>
      </c>
      <c r="O9" s="44">
        <v>1</v>
      </c>
      <c r="P9" s="46">
        <v>1</v>
      </c>
      <c r="Q9" s="44">
        <v>1</v>
      </c>
    </row>
    <row r="10" spans="2:17" ht="15" customHeight="1" x14ac:dyDescent="0.25">
      <c r="C10" s="42" t="s">
        <v>7</v>
      </c>
      <c r="D10" s="43"/>
      <c r="E10" s="116" t="s">
        <v>4</v>
      </c>
      <c r="F10" s="44">
        <v>1</v>
      </c>
      <c r="G10" s="44">
        <v>1</v>
      </c>
      <c r="H10" s="44">
        <v>1</v>
      </c>
      <c r="L10" s="42" t="s">
        <v>7</v>
      </c>
      <c r="M10" s="43"/>
      <c r="N10" s="116" t="s">
        <v>35</v>
      </c>
      <c r="O10" s="44">
        <v>1</v>
      </c>
      <c r="P10" s="44">
        <v>1</v>
      </c>
      <c r="Q10" s="44">
        <v>1</v>
      </c>
    </row>
    <row r="11" spans="2:17" ht="3" customHeight="1" x14ac:dyDescent="0.25">
      <c r="C11" s="45"/>
      <c r="D11" s="43"/>
      <c r="E11" s="44">
        <v>1</v>
      </c>
      <c r="F11" s="44">
        <v>1</v>
      </c>
      <c r="G11" s="44">
        <v>1</v>
      </c>
      <c r="H11" s="44">
        <v>1</v>
      </c>
      <c r="L11" s="45"/>
      <c r="M11" s="43"/>
      <c r="N11" s="44">
        <v>1</v>
      </c>
      <c r="O11" s="44">
        <v>1</v>
      </c>
      <c r="P11" s="44">
        <v>1</v>
      </c>
      <c r="Q11" s="44">
        <v>1</v>
      </c>
    </row>
    <row r="12" spans="2:17" ht="15" customHeight="1" x14ac:dyDescent="0.25">
      <c r="C12" s="42" t="s">
        <v>57</v>
      </c>
      <c r="D12" s="43"/>
      <c r="E12" s="12" t="s">
        <v>45</v>
      </c>
      <c r="F12" s="44">
        <v>1</v>
      </c>
      <c r="G12" s="42" t="s">
        <v>58</v>
      </c>
      <c r="H12" s="12" t="s">
        <v>76</v>
      </c>
      <c r="L12" s="42" t="s">
        <v>57</v>
      </c>
      <c r="M12" s="43"/>
      <c r="N12" s="12" t="s">
        <v>45</v>
      </c>
      <c r="O12" s="44">
        <v>1</v>
      </c>
      <c r="P12" s="42" t="s">
        <v>58</v>
      </c>
      <c r="Q12" s="12" t="s">
        <v>76</v>
      </c>
    </row>
    <row r="13" spans="2:17" ht="3" customHeight="1" x14ac:dyDescent="0.25">
      <c r="C13" s="45"/>
      <c r="D13" s="43"/>
      <c r="E13" s="44">
        <v>1</v>
      </c>
      <c r="F13" s="44">
        <v>1</v>
      </c>
      <c r="G13" s="47">
        <v>1</v>
      </c>
      <c r="H13" s="44">
        <v>1</v>
      </c>
      <c r="L13" s="45"/>
      <c r="M13" s="43"/>
      <c r="N13" s="44">
        <v>1</v>
      </c>
      <c r="O13" s="44">
        <v>1</v>
      </c>
      <c r="P13" s="47">
        <v>1</v>
      </c>
      <c r="Q13" s="44">
        <v>1</v>
      </c>
    </row>
    <row r="14" spans="2:17" ht="15" customHeight="1" x14ac:dyDescent="0.25">
      <c r="C14" s="42" t="s">
        <v>73</v>
      </c>
      <c r="D14" s="43"/>
      <c r="E14" s="13">
        <v>2000</v>
      </c>
      <c r="F14" s="44">
        <v>1</v>
      </c>
      <c r="G14" s="42" t="s">
        <v>72</v>
      </c>
      <c r="H14" s="13">
        <v>0</v>
      </c>
      <c r="L14" s="42" t="s">
        <v>77</v>
      </c>
      <c r="M14" s="43"/>
      <c r="N14" s="13">
        <f>E14*10.7639</f>
        <v>21527.8</v>
      </c>
      <c r="O14" s="44">
        <v>1</v>
      </c>
      <c r="P14" s="42" t="s">
        <v>72</v>
      </c>
      <c r="Q14" s="13">
        <v>0</v>
      </c>
    </row>
    <row r="15" spans="2:17" ht="3" customHeight="1" x14ac:dyDescent="0.25">
      <c r="C15" s="45"/>
      <c r="D15" s="43"/>
      <c r="E15" s="44">
        <v>1</v>
      </c>
      <c r="F15" s="44">
        <v>1</v>
      </c>
      <c r="G15" s="47">
        <v>1</v>
      </c>
      <c r="H15" s="44">
        <v>0</v>
      </c>
      <c r="L15" s="45"/>
      <c r="M15" s="43"/>
      <c r="N15" s="44">
        <v>1</v>
      </c>
      <c r="O15" s="44">
        <v>1</v>
      </c>
      <c r="P15" s="47">
        <v>1</v>
      </c>
      <c r="Q15" s="44">
        <v>0</v>
      </c>
    </row>
    <row r="16" spans="2:17" ht="15" customHeight="1" x14ac:dyDescent="0.25">
      <c r="C16" s="42" t="s">
        <v>74</v>
      </c>
      <c r="D16" s="43"/>
      <c r="E16" s="14">
        <v>28</v>
      </c>
      <c r="F16" s="44">
        <v>1</v>
      </c>
      <c r="G16" s="42" t="s">
        <v>75</v>
      </c>
      <c r="H16" s="14">
        <v>0</v>
      </c>
      <c r="L16" s="42" t="s">
        <v>74</v>
      </c>
      <c r="M16" s="43"/>
      <c r="N16" s="14">
        <v>15</v>
      </c>
      <c r="O16" s="44">
        <v>1</v>
      </c>
      <c r="P16" s="42" t="s">
        <v>75</v>
      </c>
      <c r="Q16" s="14">
        <v>0</v>
      </c>
    </row>
    <row r="17" spans="3:17" ht="6" customHeight="1" x14ac:dyDescent="0.25">
      <c r="C17" s="48"/>
      <c r="D17" s="48"/>
      <c r="E17" s="48"/>
      <c r="F17" s="43"/>
      <c r="G17" s="48"/>
      <c r="H17" s="48"/>
      <c r="L17" s="48"/>
      <c r="M17" s="48"/>
      <c r="N17" s="48"/>
      <c r="O17" s="43"/>
      <c r="P17" s="48"/>
      <c r="Q17" s="48"/>
    </row>
    <row r="18" spans="3:17" ht="15" customHeight="1" x14ac:dyDescent="0.25">
      <c r="C18" s="138" t="s">
        <v>40</v>
      </c>
      <c r="D18" s="138"/>
      <c r="E18" s="138"/>
      <c r="F18" s="138"/>
      <c r="G18" s="138"/>
      <c r="H18" s="138"/>
      <c r="L18" s="138" t="s">
        <v>40</v>
      </c>
      <c r="M18" s="138"/>
      <c r="N18" s="138"/>
      <c r="O18" s="138"/>
      <c r="P18" s="138"/>
      <c r="Q18" s="138"/>
    </row>
    <row r="19" spans="3:17" ht="5.0999999999999996" customHeight="1" x14ac:dyDescent="0.25">
      <c r="C19" s="49"/>
      <c r="L19" s="49"/>
    </row>
    <row r="20" spans="3:17" ht="15" customHeight="1" x14ac:dyDescent="0.25">
      <c r="C20" s="139" t="s">
        <v>59</v>
      </c>
      <c r="D20" s="139"/>
      <c r="E20" s="140" t="str">
        <f>IF(E8='Data Validation'!P5,"Minimum  "&amp;TEXT(H42,"#,##0")&amp;" housing units with GFA of "&amp;TEXT(H47,"#,##0")&amp;" "&amp;E10&amp;"","$"&amp;TEXT(H52,"#,##0")&amp;" Payment in Lieu")</f>
        <v>Minimum  3 housing units with GFA of 167 sq.m</v>
      </c>
      <c r="F20" s="140"/>
      <c r="G20" s="140"/>
      <c r="L20" s="139" t="s">
        <v>59</v>
      </c>
      <c r="M20" s="139"/>
      <c r="N20" s="140" t="str">
        <f>IF(N8='Data Validation'!P5,"Minimum  "&amp;TEXT(Q42,"#,##0")&amp;" housing units with GFA of "&amp;TEXT(Q47,"#,##0")&amp;" "&amp;N10&amp;"","$"&amp;TEXT(Q52,"#,##0")&amp;" Payment in Lieu")</f>
        <v>Minimum  2 housing units with GFA of 1,196 sq.ft</v>
      </c>
      <c r="O20" s="140"/>
      <c r="P20" s="140"/>
    </row>
    <row r="21" spans="3:17" ht="15" customHeight="1" x14ac:dyDescent="0.25">
      <c r="C21" s="139" t="s">
        <v>60</v>
      </c>
      <c r="D21" s="139"/>
      <c r="E21" s="141" t="str">
        <f>IF(E6='Data Validation'!N5,LEFT(H6,10)&amp;" Amenity with GFA of "&amp;TEXT(H64,"#,##0")&amp;" "&amp;E10,"$"&amp;TEXT(H59,"#,##0")&amp;" Payment in Lieu")</f>
        <v>Category 2 Amenity with GFA of 114 sq.m</v>
      </c>
      <c r="F21" s="141"/>
      <c r="G21" s="141"/>
      <c r="L21" s="139" t="s">
        <v>60</v>
      </c>
      <c r="M21" s="139"/>
      <c r="N21" s="141" t="str">
        <f>IF(N6='Data Validation'!N5,LEFT(Q6,10)&amp;" Amenity with GFA of "&amp;TEXT(Q64,"#,##0")&amp;" "&amp;N10,"$"&amp;TEXT(Q59,"#,##0")&amp;" Payment in Lieu")</f>
        <v>$1,512,919 Payment in Lieu</v>
      </c>
      <c r="O21" s="141"/>
      <c r="P21" s="141"/>
    </row>
    <row r="22" spans="3:17" ht="15" customHeight="1" x14ac:dyDescent="0.25">
      <c r="C22" s="142" t="s">
        <v>61</v>
      </c>
      <c r="D22" s="142"/>
      <c r="E22" s="143">
        <f>H35</f>
        <v>2262000</v>
      </c>
      <c r="F22" s="143"/>
      <c r="G22" s="143"/>
      <c r="H22" s="53"/>
      <c r="L22" s="142" t="s">
        <v>61</v>
      </c>
      <c r="M22" s="142"/>
      <c r="N22" s="143">
        <f>Q35</f>
        <v>2260419</v>
      </c>
      <c r="O22" s="143"/>
      <c r="P22" s="143"/>
      <c r="Q22" s="53"/>
    </row>
    <row r="23" spans="3:17" ht="5.0999999999999996" customHeight="1" x14ac:dyDescent="0.25"/>
    <row r="24" spans="3:17" ht="17.25" customHeight="1" x14ac:dyDescent="0.25">
      <c r="C24" s="138" t="s">
        <v>39</v>
      </c>
      <c r="D24" s="138"/>
      <c r="E24" s="138"/>
      <c r="F24" s="138"/>
      <c r="G24" s="138"/>
      <c r="H24" s="138"/>
      <c r="L24" s="138" t="s">
        <v>39</v>
      </c>
      <c r="M24" s="138"/>
      <c r="N24" s="138"/>
      <c r="O24" s="138"/>
      <c r="P24" s="138"/>
      <c r="Q24" s="138"/>
    </row>
    <row r="25" spans="3:17" ht="3" customHeight="1" x14ac:dyDescent="0.25"/>
    <row r="26" spans="3:17" s="57" customFormat="1" ht="17.25" customHeight="1" x14ac:dyDescent="0.25">
      <c r="C26" s="54" t="s">
        <v>33</v>
      </c>
      <c r="D26" s="54"/>
      <c r="E26" s="54"/>
      <c r="F26" s="55"/>
      <c r="G26" s="55"/>
      <c r="H26" s="56"/>
      <c r="L26" s="54" t="s">
        <v>33</v>
      </c>
      <c r="M26" s="54"/>
      <c r="N26" s="54"/>
      <c r="O26" s="55"/>
      <c r="P26" s="55"/>
      <c r="Q26" s="56"/>
    </row>
    <row r="27" spans="3:17" ht="3" customHeight="1" x14ac:dyDescent="0.25"/>
    <row r="28" spans="3:17" s="61" customFormat="1" ht="4.5" customHeight="1" x14ac:dyDescent="0.15">
      <c r="C28" s="58"/>
      <c r="D28" s="59"/>
      <c r="E28" s="59"/>
      <c r="F28" s="59"/>
      <c r="G28" s="59"/>
      <c r="H28" s="60"/>
      <c r="L28" s="58"/>
      <c r="M28" s="59"/>
      <c r="N28" s="59"/>
      <c r="O28" s="59"/>
      <c r="P28" s="59"/>
      <c r="Q28" s="60"/>
    </row>
    <row r="29" spans="3:17" ht="15" customHeight="1" x14ac:dyDescent="0.25">
      <c r="C29" s="62" t="s">
        <v>62</v>
      </c>
      <c r="D29" s="63" t="s">
        <v>25</v>
      </c>
      <c r="E29" s="64" t="str">
        <f>" Floor Area of Community Benefit Bonus, Bonus Units Type 1, "&amp;E10</f>
        <v xml:space="preserve"> Floor Area of Community Benefit Bonus, Bonus Units Type 1, sq.m</v>
      </c>
      <c r="F29" s="65"/>
      <c r="G29" s="66" t="s">
        <v>13</v>
      </c>
      <c r="H29" s="67" t="s">
        <v>36</v>
      </c>
      <c r="L29" s="62" t="s">
        <v>62</v>
      </c>
      <c r="M29" s="63" t="s">
        <v>25</v>
      </c>
      <c r="N29" s="64" t="str">
        <f>" Floor Area of Community Benefit Bonus, Bonus Units Type 1, "&amp;N10</f>
        <v xml:space="preserve"> Floor Area of Community Benefit Bonus, Bonus Units Type 1, sq.ft</v>
      </c>
      <c r="O29" s="65"/>
      <c r="P29" s="66" t="s">
        <v>13</v>
      </c>
      <c r="Q29" s="67" t="s">
        <v>36</v>
      </c>
    </row>
    <row r="30" spans="3:17" ht="15" customHeight="1" x14ac:dyDescent="0.25">
      <c r="C30" s="68" cm="1">
        <f t="array" ref="C30">INDEX(Rates!G5:G52,MATCH(1,('Sq ft vs Sq m'!E4=Rates!C5:C52)*(E12=Rates!D5:D52)*('Sq ft vs Sq m'!E10=Rates!E5:E52)*('Sq ft vs Sq m'!H4=Rates!F5:F52),0))</f>
        <v>1131</v>
      </c>
      <c r="D30" s="63" t="s">
        <v>25</v>
      </c>
      <c r="E30" s="69">
        <f>E14</f>
        <v>2000</v>
      </c>
      <c r="F30" s="65"/>
      <c r="G30" s="66" t="s">
        <v>13</v>
      </c>
      <c r="H30" s="70">
        <f>C30*E30</f>
        <v>2262000</v>
      </c>
      <c r="L30" s="68" cm="1">
        <f t="array" ref="L30">INDEX(Rates!G5:G52,MATCH(1,('Sq ft vs Sq m'!N4=Rates!C5:C52)*(N12=Rates!D5:D52)*('Sq ft vs Sq m'!N10=Rates!E5:E52)*('Sq ft vs Sq m'!Q4=Rates!F5:F52),0))</f>
        <v>105</v>
      </c>
      <c r="M30" s="63" t="s">
        <v>25</v>
      </c>
      <c r="N30" s="69">
        <f>N14</f>
        <v>21527.8</v>
      </c>
      <c r="O30" s="65"/>
      <c r="P30" s="66" t="s">
        <v>13</v>
      </c>
      <c r="Q30" s="70">
        <f>L30*N30</f>
        <v>2260419</v>
      </c>
    </row>
    <row r="31" spans="3:17" ht="5.0999999999999996" customHeight="1" x14ac:dyDescent="0.25">
      <c r="C31" s="62"/>
      <c r="D31" s="63"/>
      <c r="E31" s="69"/>
      <c r="F31" s="65"/>
      <c r="G31" s="66"/>
      <c r="H31" s="70"/>
      <c r="L31" s="62"/>
      <c r="M31" s="63"/>
      <c r="N31" s="69"/>
      <c r="O31" s="65"/>
      <c r="P31" s="66"/>
      <c r="Q31" s="70"/>
    </row>
    <row r="32" spans="3:17" ht="15" customHeight="1" x14ac:dyDescent="0.25">
      <c r="C32" s="62" t="s">
        <v>63</v>
      </c>
      <c r="D32" s="63" t="s">
        <v>25</v>
      </c>
      <c r="E32" s="64" t="str">
        <f>" Floor Area of Community Benefit Bonus, Bonus Units Type 2, "&amp;E10</f>
        <v xml:space="preserve"> Floor Area of Community Benefit Bonus, Bonus Units Type 2, sq.m</v>
      </c>
      <c r="F32" s="65"/>
      <c r="G32" s="66" t="s">
        <v>13</v>
      </c>
      <c r="H32" s="67" t="s">
        <v>36</v>
      </c>
      <c r="L32" s="62" t="s">
        <v>63</v>
      </c>
      <c r="M32" s="63" t="s">
        <v>25</v>
      </c>
      <c r="N32" s="64" t="str">
        <f>" Floor Area of Community Benefit Bonus, Bonus Units Type 2, "&amp;N10</f>
        <v xml:space="preserve"> Floor Area of Community Benefit Bonus, Bonus Units Type 2, sq.ft</v>
      </c>
      <c r="O32" s="65"/>
      <c r="P32" s="66" t="s">
        <v>13</v>
      </c>
      <c r="Q32" s="67" t="s">
        <v>36</v>
      </c>
    </row>
    <row r="33" spans="3:17" ht="15" customHeight="1" x14ac:dyDescent="0.25">
      <c r="C33" s="68" cm="1">
        <f t="array" ref="C33">IF(H12='Data Validation'!H6,0,INDEX(Rates!G5:G52,MATCH(1,('Sq ft vs Sq m'!E4=Rates!C5:C52)*(H12=Rates!D5:D52)*('Sq ft vs Sq m'!E10=Rates!E5:E52)*('Sq ft vs Sq m'!H4=Rates!F5:F52),0)))</f>
        <v>0</v>
      </c>
      <c r="D33" s="63" t="s">
        <v>25</v>
      </c>
      <c r="E33" s="69">
        <f>IF(H12='Data Validation'!H6,0,H14)</f>
        <v>0</v>
      </c>
      <c r="F33" s="65"/>
      <c r="G33" s="66" t="s">
        <v>13</v>
      </c>
      <c r="H33" s="70">
        <f>C33*E33</f>
        <v>0</v>
      </c>
      <c r="L33" s="68" cm="1">
        <f t="array" ref="L33">IF(Q12='Data Validation'!H6,0,INDEX(Rates!G5:G52,MATCH(1,('Sq ft vs Sq m'!N4=Rates!C5:C52)*(Q12=Rates!D5:D52)*('Sq ft vs Sq m'!N10=Rates!E5:E52)*('Sq ft vs Sq m'!Q4=Rates!F5:F52),0)))</f>
        <v>0</v>
      </c>
      <c r="M33" s="63" t="s">
        <v>25</v>
      </c>
      <c r="N33" s="69">
        <f>IF(Q12='Data Validation'!H6,0,Q14)</f>
        <v>0</v>
      </c>
      <c r="O33" s="65"/>
      <c r="P33" s="66" t="s">
        <v>13</v>
      </c>
      <c r="Q33" s="70">
        <f>L33*N33</f>
        <v>0</v>
      </c>
    </row>
    <row r="34" spans="3:17" ht="3" customHeight="1" x14ac:dyDescent="0.25">
      <c r="C34" s="62"/>
      <c r="D34" s="63"/>
      <c r="E34" s="69"/>
      <c r="F34" s="65"/>
      <c r="G34" s="66"/>
      <c r="H34" s="70"/>
      <c r="L34" s="62"/>
      <c r="M34" s="63"/>
      <c r="N34" s="69"/>
      <c r="O34" s="65"/>
      <c r="P34" s="66"/>
      <c r="Q34" s="70"/>
    </row>
    <row r="35" spans="3:17" ht="15" customHeight="1" x14ac:dyDescent="0.25">
      <c r="C35" s="27"/>
      <c r="D35" s="63"/>
      <c r="E35" s="28"/>
      <c r="F35" s="66"/>
      <c r="G35" s="71" t="s">
        <v>64</v>
      </c>
      <c r="H35" s="72">
        <f>H30+H33</f>
        <v>2262000</v>
      </c>
      <c r="L35" s="27"/>
      <c r="M35" s="63"/>
      <c r="N35" s="28"/>
      <c r="O35" s="66"/>
      <c r="P35" s="71" t="s">
        <v>64</v>
      </c>
      <c r="Q35" s="72">
        <f>Q30+Q33</f>
        <v>2260419</v>
      </c>
    </row>
    <row r="36" spans="3:17" s="61" customFormat="1" ht="5.0999999999999996" customHeight="1" x14ac:dyDescent="0.15">
      <c r="C36" s="73"/>
      <c r="D36" s="74"/>
      <c r="E36" s="74"/>
      <c r="F36" s="75"/>
      <c r="G36" s="75"/>
      <c r="H36" s="76"/>
      <c r="L36" s="73"/>
      <c r="M36" s="74"/>
      <c r="N36" s="74"/>
      <c r="O36" s="75"/>
      <c r="P36" s="75"/>
      <c r="Q36" s="76"/>
    </row>
    <row r="37" spans="3:17" ht="6" customHeight="1" x14ac:dyDescent="0.25">
      <c r="F37" s="66"/>
      <c r="G37" s="66"/>
      <c r="H37" s="49"/>
      <c r="O37" s="66"/>
      <c r="P37" s="66"/>
      <c r="Q37" s="49"/>
    </row>
    <row r="38" spans="3:17" s="57" customFormat="1" ht="17.25" customHeight="1" x14ac:dyDescent="0.25">
      <c r="C38" s="54" t="s">
        <v>26</v>
      </c>
      <c r="D38" s="54"/>
      <c r="E38" s="54"/>
      <c r="F38" s="55"/>
      <c r="G38" s="55"/>
      <c r="H38" s="77"/>
      <c r="L38" s="54" t="s">
        <v>26</v>
      </c>
      <c r="M38" s="54"/>
      <c r="N38" s="54"/>
      <c r="O38" s="55"/>
      <c r="P38" s="55"/>
      <c r="Q38" s="77"/>
    </row>
    <row r="39" spans="3:17" ht="3" customHeight="1" x14ac:dyDescent="0.25">
      <c r="F39" s="66"/>
      <c r="G39" s="66"/>
      <c r="H39" s="49"/>
      <c r="O39" s="66"/>
      <c r="P39" s="66"/>
      <c r="Q39" s="49"/>
    </row>
    <row r="40" spans="3:17" ht="5.0999999999999996" customHeight="1" x14ac:dyDescent="0.25">
      <c r="C40" s="78"/>
      <c r="D40" s="53"/>
      <c r="E40" s="53"/>
      <c r="F40" s="79"/>
      <c r="G40" s="79"/>
      <c r="H40" s="80"/>
      <c r="L40" s="78"/>
      <c r="M40" s="53"/>
      <c r="N40" s="53"/>
      <c r="O40" s="79"/>
      <c r="P40" s="79"/>
      <c r="Q40" s="80"/>
    </row>
    <row r="41" spans="3:17" s="83" customFormat="1" ht="15" customHeight="1" x14ac:dyDescent="0.25">
      <c r="C41" s="81" t="s">
        <v>16</v>
      </c>
      <c r="D41" s="63" t="s">
        <v>25</v>
      </c>
      <c r="E41" s="82">
        <v>0.1</v>
      </c>
      <c r="F41" s="65"/>
      <c r="G41" s="66" t="s">
        <v>13</v>
      </c>
      <c r="H41" s="67" t="s">
        <v>15</v>
      </c>
      <c r="L41" s="81" t="s">
        <v>16</v>
      </c>
      <c r="M41" s="63" t="s">
        <v>25</v>
      </c>
      <c r="N41" s="82">
        <v>0.1</v>
      </c>
      <c r="O41" s="65"/>
      <c r="P41" s="66" t="s">
        <v>13</v>
      </c>
      <c r="Q41" s="67" t="s">
        <v>15</v>
      </c>
    </row>
    <row r="42" spans="3:17" ht="15" customHeight="1" x14ac:dyDescent="0.25">
      <c r="C42" s="29">
        <f>(E16+H16)</f>
        <v>28</v>
      </c>
      <c r="D42" s="63" t="s">
        <v>25</v>
      </c>
      <c r="E42" s="30">
        <v>0.1</v>
      </c>
      <c r="F42" s="66"/>
      <c r="G42" s="66" t="s">
        <v>13</v>
      </c>
      <c r="H42" s="32">
        <f>ROUND(C42*E42,0)</f>
        <v>3</v>
      </c>
      <c r="L42" s="29">
        <f>(N16+Q16)</f>
        <v>15</v>
      </c>
      <c r="M42" s="63" t="s">
        <v>25</v>
      </c>
      <c r="N42" s="30">
        <v>0.1</v>
      </c>
      <c r="O42" s="66"/>
      <c r="P42" s="66" t="s">
        <v>13</v>
      </c>
      <c r="Q42" s="32">
        <f>ROUND(L42*N42,0)</f>
        <v>2</v>
      </c>
    </row>
    <row r="43" spans="3:17" ht="5.0999999999999996" customHeight="1" x14ac:dyDescent="0.25">
      <c r="C43" s="84"/>
      <c r="D43" s="85"/>
      <c r="E43" s="86"/>
      <c r="F43" s="85"/>
      <c r="G43" s="85"/>
      <c r="H43" s="87"/>
      <c r="L43" s="84"/>
      <c r="M43" s="85"/>
      <c r="N43" s="86"/>
      <c r="O43" s="85"/>
      <c r="P43" s="85"/>
      <c r="Q43" s="87"/>
    </row>
    <row r="44" spans="3:17" ht="3" customHeight="1" x14ac:dyDescent="0.25">
      <c r="D44" s="66"/>
      <c r="F44" s="66"/>
      <c r="G44" s="66"/>
      <c r="H44" s="49"/>
      <c r="M44" s="66"/>
      <c r="O44" s="66"/>
      <c r="P44" s="66"/>
      <c r="Q44" s="49"/>
    </row>
    <row r="45" spans="3:17" ht="5.0999999999999996" customHeight="1" x14ac:dyDescent="0.25">
      <c r="C45" s="78"/>
      <c r="D45" s="79"/>
      <c r="E45" s="53"/>
      <c r="F45" s="79"/>
      <c r="G45" s="79"/>
      <c r="H45" s="80"/>
      <c r="L45" s="78"/>
      <c r="M45" s="79"/>
      <c r="N45" s="53"/>
      <c r="O45" s="79"/>
      <c r="P45" s="79"/>
      <c r="Q45" s="80"/>
    </row>
    <row r="46" spans="3:17" ht="15" customHeight="1" x14ac:dyDescent="0.25">
      <c r="C46" s="81" t="s">
        <v>17</v>
      </c>
      <c r="D46" s="63" t="s">
        <v>25</v>
      </c>
      <c r="E46" s="88" t="str">
        <f>IF(E10='Data Validation'!L4,"55.74 sq.m","598sq.ft")</f>
        <v>55.74 sq.m</v>
      </c>
      <c r="F46" s="65"/>
      <c r="G46" s="66" t="s">
        <v>13</v>
      </c>
      <c r="H46" s="67" t="str">
        <f>"Minimum required CBB Housing area, "&amp;E10</f>
        <v>Minimum required CBB Housing area, sq.m</v>
      </c>
      <c r="L46" s="81" t="s">
        <v>17</v>
      </c>
      <c r="M46" s="63" t="s">
        <v>25</v>
      </c>
      <c r="N46" s="88" t="str">
        <f>IF(N10='Data Validation'!L4,"55.74 sq.m","598sq.ft")</f>
        <v>598sq.ft</v>
      </c>
      <c r="O46" s="65"/>
      <c r="P46" s="66" t="s">
        <v>13</v>
      </c>
      <c r="Q46" s="67" t="str">
        <f>"Minimum required CBB Housing area, "&amp;N10</f>
        <v>Minimum required CBB Housing area, sq.ft</v>
      </c>
    </row>
    <row r="47" spans="3:17" ht="15" customHeight="1" x14ac:dyDescent="0.25">
      <c r="C47" s="29">
        <f>H42</f>
        <v>3</v>
      </c>
      <c r="D47" s="63" t="s">
        <v>25</v>
      </c>
      <c r="E47" s="28">
        <f>IF(E10='Data Validation'!L4,55.74,598)</f>
        <v>55.74</v>
      </c>
      <c r="F47" s="65"/>
      <c r="G47" s="66" t="s">
        <v>13</v>
      </c>
      <c r="H47" s="32">
        <f>C47*E47</f>
        <v>167.22</v>
      </c>
      <c r="L47" s="29">
        <f>Q42</f>
        <v>2</v>
      </c>
      <c r="M47" s="63" t="s">
        <v>25</v>
      </c>
      <c r="N47" s="28">
        <f>IF(N10='Data Validation'!L4,55.74,598)</f>
        <v>598</v>
      </c>
      <c r="O47" s="65"/>
      <c r="P47" s="66" t="s">
        <v>13</v>
      </c>
      <c r="Q47" s="32">
        <f>L47*N47</f>
        <v>1196</v>
      </c>
    </row>
    <row r="48" spans="3:17" ht="5.0999999999999996" customHeight="1" x14ac:dyDescent="0.25">
      <c r="C48" s="89"/>
      <c r="D48" s="90"/>
      <c r="E48" s="91"/>
      <c r="F48" s="92"/>
      <c r="G48" s="85"/>
      <c r="H48" s="93"/>
      <c r="L48" s="89"/>
      <c r="M48" s="90"/>
      <c r="N48" s="91"/>
      <c r="O48" s="92"/>
      <c r="P48" s="85"/>
      <c r="Q48" s="93"/>
    </row>
    <row r="49" spans="3:17" ht="3" customHeight="1" x14ac:dyDescent="0.25">
      <c r="C49" s="94"/>
      <c r="D49" s="65"/>
      <c r="F49" s="65"/>
      <c r="G49" s="66"/>
      <c r="H49" s="95"/>
      <c r="L49" s="94"/>
      <c r="M49" s="65"/>
      <c r="O49" s="65"/>
      <c r="P49" s="66"/>
      <c r="Q49" s="95"/>
    </row>
    <row r="50" spans="3:17" ht="5.0999999999999996" customHeight="1" x14ac:dyDescent="0.25">
      <c r="C50" s="96"/>
      <c r="D50" s="97"/>
      <c r="E50" s="53"/>
      <c r="F50" s="97"/>
      <c r="G50" s="79"/>
      <c r="H50" s="98"/>
      <c r="L50" s="96"/>
      <c r="M50" s="97"/>
      <c r="N50" s="53"/>
      <c r="O50" s="97"/>
      <c r="P50" s="79"/>
      <c r="Q50" s="98"/>
    </row>
    <row r="51" spans="3:17" ht="15" customHeight="1" x14ac:dyDescent="0.25">
      <c r="C51" s="62" t="str">
        <f>H46</f>
        <v>Minimum required CBB Housing area, sq.m</v>
      </c>
      <c r="D51" s="63" t="s">
        <v>25</v>
      </c>
      <c r="E51" s="64" t="s">
        <v>28</v>
      </c>
      <c r="F51" s="65"/>
      <c r="G51" s="66" t="s">
        <v>13</v>
      </c>
      <c r="H51" s="67" t="s">
        <v>37</v>
      </c>
      <c r="L51" s="62" t="str">
        <f>Q46</f>
        <v>Minimum required CBB Housing area, sq.ft</v>
      </c>
      <c r="M51" s="63" t="s">
        <v>25</v>
      </c>
      <c r="N51" s="64" t="s">
        <v>28</v>
      </c>
      <c r="O51" s="65"/>
      <c r="P51" s="66" t="s">
        <v>13</v>
      </c>
      <c r="Q51" s="67" t="s">
        <v>37</v>
      </c>
    </row>
    <row r="52" spans="3:17" ht="15" customHeight="1" x14ac:dyDescent="0.25">
      <c r="C52" s="33">
        <f>H47</f>
        <v>167.22</v>
      </c>
      <c r="D52" s="63" t="s">
        <v>25</v>
      </c>
      <c r="E52" s="28">
        <f>INDEX(Rates!E63:E64,MATCH('Sq ft vs Sq m'!E10,Rates!D63:D64,0))</f>
        <v>6727.44</v>
      </c>
      <c r="F52" s="66"/>
      <c r="G52" s="66" t="s">
        <v>13</v>
      </c>
      <c r="H52" s="34">
        <f>C52*E52</f>
        <v>1124962.5167999999</v>
      </c>
      <c r="L52" s="33">
        <f>Q47</f>
        <v>1196</v>
      </c>
      <c r="M52" s="63" t="s">
        <v>25</v>
      </c>
      <c r="N52" s="28">
        <f>INDEX(Rates!E63:E64,MATCH('Sq ft vs Sq m'!N10,Rates!D63:D64,0))</f>
        <v>625</v>
      </c>
      <c r="O52" s="66"/>
      <c r="P52" s="66" t="s">
        <v>13</v>
      </c>
      <c r="Q52" s="34">
        <f>L52*N52</f>
        <v>747500</v>
      </c>
    </row>
    <row r="53" spans="3:17" ht="5.0999999999999996" customHeight="1" x14ac:dyDescent="0.25">
      <c r="C53" s="89"/>
      <c r="D53" s="90"/>
      <c r="E53" s="35"/>
      <c r="F53" s="85"/>
      <c r="G53" s="85"/>
      <c r="H53" s="36"/>
      <c r="L53" s="89"/>
      <c r="M53" s="90"/>
      <c r="N53" s="35"/>
      <c r="O53" s="85"/>
      <c r="P53" s="85"/>
      <c r="Q53" s="36"/>
    </row>
    <row r="54" spans="3:17" ht="3" customHeight="1" x14ac:dyDescent="0.25">
      <c r="D54" s="66"/>
      <c r="F54" s="66"/>
      <c r="G54" s="66"/>
      <c r="H54" s="49"/>
      <c r="M54" s="66"/>
      <c r="O54" s="66"/>
      <c r="P54" s="66"/>
      <c r="Q54" s="49"/>
    </row>
    <row r="55" spans="3:17" s="57" customFormat="1" ht="17.25" customHeight="1" x14ac:dyDescent="0.25">
      <c r="C55" s="54" t="s">
        <v>27</v>
      </c>
      <c r="D55" s="54"/>
      <c r="E55" s="54"/>
      <c r="F55" s="55"/>
      <c r="G55" s="55"/>
      <c r="H55" s="77"/>
      <c r="L55" s="54" t="s">
        <v>27</v>
      </c>
      <c r="M55" s="54"/>
      <c r="N55" s="54"/>
      <c r="O55" s="55"/>
      <c r="P55" s="55"/>
      <c r="Q55" s="77"/>
    </row>
    <row r="56" spans="3:17" ht="3" customHeight="1" x14ac:dyDescent="0.25">
      <c r="C56" s="66"/>
      <c r="D56" s="66"/>
      <c r="E56" s="66"/>
      <c r="H56" s="99"/>
      <c r="L56" s="66"/>
      <c r="M56" s="66"/>
      <c r="N56" s="66"/>
      <c r="Q56" s="99"/>
    </row>
    <row r="57" spans="3:17" ht="5.0999999999999996" customHeight="1" x14ac:dyDescent="0.25">
      <c r="C57" s="100"/>
      <c r="D57" s="79"/>
      <c r="E57" s="79"/>
      <c r="F57" s="53"/>
      <c r="G57" s="53"/>
      <c r="H57" s="101"/>
      <c r="L57" s="100"/>
      <c r="M57" s="79"/>
      <c r="N57" s="79"/>
      <c r="O57" s="53"/>
      <c r="P57" s="53"/>
      <c r="Q57" s="101"/>
    </row>
    <row r="58" spans="3:17" s="83" customFormat="1" ht="15" customHeight="1" x14ac:dyDescent="0.25">
      <c r="C58" s="81" t="str">
        <f>H29</f>
        <v>Community Benefit Value, $</v>
      </c>
      <c r="D58" s="102" t="s">
        <v>34</v>
      </c>
      <c r="E58" s="82" t="str">
        <f>H51</f>
        <v>Minimum CBB Housing Payment-in-lieu amount, $</v>
      </c>
      <c r="F58" s="65"/>
      <c r="G58" s="66" t="s">
        <v>13</v>
      </c>
      <c r="H58" s="67" t="s">
        <v>38</v>
      </c>
      <c r="L58" s="81" t="str">
        <f>Q29</f>
        <v>Community Benefit Value, $</v>
      </c>
      <c r="M58" s="102" t="s">
        <v>34</v>
      </c>
      <c r="N58" s="82" t="str">
        <f>Q51</f>
        <v>Minimum CBB Housing Payment-in-lieu amount, $</v>
      </c>
      <c r="O58" s="65"/>
      <c r="P58" s="66" t="s">
        <v>13</v>
      </c>
      <c r="Q58" s="67" t="s">
        <v>38</v>
      </c>
    </row>
    <row r="59" spans="3:17" s="57" customFormat="1" ht="15" customHeight="1" x14ac:dyDescent="0.25">
      <c r="C59" s="33">
        <f>H35</f>
        <v>2262000</v>
      </c>
      <c r="D59" s="102" t="s">
        <v>34</v>
      </c>
      <c r="E59" s="37">
        <f>H52</f>
        <v>1124962.5167999999</v>
      </c>
      <c r="F59" s="66"/>
      <c r="G59" s="66" t="s">
        <v>13</v>
      </c>
      <c r="H59" s="34">
        <f>C59-E59</f>
        <v>1137037.4832000001</v>
      </c>
      <c r="L59" s="33">
        <f>Q35</f>
        <v>2260419</v>
      </c>
      <c r="M59" s="102" t="s">
        <v>34</v>
      </c>
      <c r="N59" s="37">
        <f>Q52</f>
        <v>747500</v>
      </c>
      <c r="O59" s="66"/>
      <c r="P59" s="66" t="s">
        <v>13</v>
      </c>
      <c r="Q59" s="34">
        <f>L59-N59</f>
        <v>1512919</v>
      </c>
    </row>
    <row r="60" spans="3:17" ht="5.0999999999999996" customHeight="1" x14ac:dyDescent="0.25">
      <c r="C60" s="103"/>
      <c r="D60" s="86"/>
      <c r="E60" s="91"/>
      <c r="F60" s="86"/>
      <c r="G60" s="86"/>
      <c r="H60" s="87"/>
      <c r="L60" s="103"/>
      <c r="M60" s="86"/>
      <c r="N60" s="91"/>
      <c r="O60" s="86"/>
      <c r="P60" s="86"/>
      <c r="Q60" s="87"/>
    </row>
    <row r="61" spans="3:17" ht="3" customHeight="1" x14ac:dyDescent="0.25">
      <c r="C61" s="50"/>
      <c r="E61" s="49"/>
      <c r="H61" s="49"/>
      <c r="L61" s="50"/>
      <c r="N61" s="49"/>
      <c r="Q61" s="49"/>
    </row>
    <row r="62" spans="3:17" ht="5.0999999999999996" customHeight="1" x14ac:dyDescent="0.25">
      <c r="C62" s="104"/>
      <c r="D62" s="53"/>
      <c r="E62" s="105"/>
      <c r="F62" s="53"/>
      <c r="G62" s="53"/>
      <c r="H62" s="80"/>
      <c r="L62" s="104"/>
      <c r="M62" s="53"/>
      <c r="N62" s="105"/>
      <c r="O62" s="53"/>
      <c r="P62" s="53"/>
      <c r="Q62" s="80"/>
    </row>
    <row r="63" spans="3:17" ht="15" customHeight="1" x14ac:dyDescent="0.25">
      <c r="C63" s="81" t="s">
        <v>23</v>
      </c>
      <c r="D63" s="106" t="s">
        <v>24</v>
      </c>
      <c r="E63" s="82" t="str">
        <f>"Capital Cost Rate-"&amp;IF(H6='Data Validation'!R4,'Data Validation'!R4,'Data Validation'!R5)</f>
        <v>Capital Cost Rate-Category 2- Social service centres and child care facilities</v>
      </c>
      <c r="F63" s="65"/>
      <c r="G63" s="66" t="s">
        <v>13</v>
      </c>
      <c r="H63" s="67" t="str">
        <f>"CBB Amenity area, "&amp;E10</f>
        <v>CBB Amenity area, sq.m</v>
      </c>
      <c r="L63" s="81" t="s">
        <v>23</v>
      </c>
      <c r="M63" s="106" t="s">
        <v>24</v>
      </c>
      <c r="N63" s="82" t="str">
        <f>"Capital Cost Rate-"&amp;IF(Q6='Data Validation'!R4,'Data Validation'!R4,'Data Validation'!R5)</f>
        <v>Capital Cost Rate-Category 2- Social service centres and child care facilities</v>
      </c>
      <c r="O63" s="65"/>
      <c r="P63" s="66" t="s">
        <v>13</v>
      </c>
      <c r="Q63" s="67" t="str">
        <f>"CBB Amenity area, "&amp;N10</f>
        <v>CBB Amenity area, sq.ft</v>
      </c>
    </row>
    <row r="64" spans="3:17" s="107" customFormat="1" ht="15" customHeight="1" x14ac:dyDescent="0.25">
      <c r="C64" s="33">
        <f>H59</f>
        <v>1137037.4832000001</v>
      </c>
      <c r="D64" s="106" t="s">
        <v>24</v>
      </c>
      <c r="E64" s="37" cm="1">
        <f t="array" ref="E64">INDEX(Rates!E57:E60,MATCH(1,('Sq ft vs Sq m'!H6=Rates!C57:C60)*('Sq ft vs Sq m'!E10=Rates!D57:D60),0))</f>
        <v>9988.8809999999994</v>
      </c>
      <c r="F64" s="66"/>
      <c r="G64" s="66" t="s">
        <v>13</v>
      </c>
      <c r="H64" s="32">
        <f>C64/E64</f>
        <v>113.83031624863688</v>
      </c>
      <c r="L64" s="33">
        <f>Q59</f>
        <v>1512919</v>
      </c>
      <c r="M64" s="106" t="s">
        <v>24</v>
      </c>
      <c r="N64" s="37" t="e" cm="1">
        <f t="array" ref="N64">INDEX(Rates!E57:E60,MATCH(1,('Sq ft vs Sq m'!Q6=Rates!C57:C60)*('Sq ft vs Sq m'!N10=Rates!D57:D60),0))</f>
        <v>#N/A</v>
      </c>
      <c r="O64" s="66"/>
      <c r="P64" s="66" t="s">
        <v>13</v>
      </c>
      <c r="Q64" s="32" t="e">
        <f>L64/N64</f>
        <v>#N/A</v>
      </c>
    </row>
    <row r="65" spans="3:17" ht="5.0999999999999996" customHeight="1" x14ac:dyDescent="0.25">
      <c r="C65" s="103"/>
      <c r="D65" s="86"/>
      <c r="E65" s="86"/>
      <c r="F65" s="86"/>
      <c r="G65" s="86"/>
      <c r="H65" s="108"/>
      <c r="L65" s="103"/>
      <c r="M65" s="86"/>
      <c r="N65" s="86"/>
      <c r="O65" s="86"/>
      <c r="P65" s="86"/>
      <c r="Q65" s="108"/>
    </row>
    <row r="66" spans="3:17" x14ac:dyDescent="0.25">
      <c r="N66" s="117"/>
    </row>
    <row r="67" spans="3:17" x14ac:dyDescent="0.25">
      <c r="E67" s="102"/>
      <c r="N67" s="102"/>
    </row>
  </sheetData>
  <mergeCells count="16">
    <mergeCell ref="C24:H24"/>
    <mergeCell ref="L24:Q24"/>
    <mergeCell ref="L18:Q18"/>
    <mergeCell ref="L20:M20"/>
    <mergeCell ref="N20:P20"/>
    <mergeCell ref="L21:M21"/>
    <mergeCell ref="N21:P21"/>
    <mergeCell ref="L22:M22"/>
    <mergeCell ref="N22:P22"/>
    <mergeCell ref="C18:H18"/>
    <mergeCell ref="C20:D20"/>
    <mergeCell ref="E20:G20"/>
    <mergeCell ref="C21:D21"/>
    <mergeCell ref="E21:G21"/>
    <mergeCell ref="C22:D22"/>
    <mergeCell ref="E22:G22"/>
  </mergeCells>
  <conditionalFormatting sqref="A18:H68">
    <cfRule type="expression" dxfId="8" priority="4">
      <formula>COUNTBLANK($E$2:$H$16)&gt;0</formula>
    </cfRule>
  </conditionalFormatting>
  <conditionalFormatting sqref="L18:Q65 L66:M66 O66:Q66 L67:Q68">
    <cfRule type="expression" dxfId="6" priority="2">
      <formula>COUNTBLANK($E$2:$H$16)&gt;0</formula>
    </cfRule>
  </conditionalFormatting>
  <pageMargins left="0.7" right="0.7" top="0.75" bottom="0.75" header="0.3" footer="0.3"/>
  <pageSetup scale="46" orientation="portrait" r:id="rId1"/>
  <extLst>
    <ext xmlns:x14="http://schemas.microsoft.com/office/spreadsheetml/2009/9/main" uri="{78C0D931-6437-407d-A8EE-F0AAD7539E65}">
      <x14:conditionalFormattings>
        <x14:conditionalFormatting xmlns:xm="http://schemas.microsoft.com/office/excel/2006/main">
          <x14:cfRule type="expression" priority="3" id="{AA9413C1-AAC2-4A37-A084-DD141E392F8F}">
            <xm:f>$E$6='Data Validation'!$N$4</xm:f>
            <x14:dxf>
              <font>
                <b val="0"/>
                <i val="0"/>
                <color theme="0"/>
              </font>
              <border>
                <left/>
                <right/>
                <top/>
                <bottom/>
                <vertical/>
                <horizontal/>
              </border>
            </x14:dxf>
          </x14:cfRule>
          <xm:sqref>A62:I66</xm:sqref>
        </x14:conditionalFormatting>
        <x14:conditionalFormatting xmlns:xm="http://schemas.microsoft.com/office/excel/2006/main">
          <x14:cfRule type="expression" priority="1" id="{CF2F1B83-9DB6-467C-8FC0-12857289F962}">
            <xm:f>$E$6='Data Validation'!$N$4</xm:f>
            <x14:dxf>
              <font>
                <b val="0"/>
                <i val="0"/>
                <color theme="0"/>
              </font>
              <border>
                <left/>
                <right/>
                <top/>
                <bottom/>
                <vertical/>
                <horizontal/>
              </border>
            </x14:dxf>
          </x14:cfRule>
          <xm:sqref>L62:Q65 L66:M66 O66:Q66</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283D6828-5DD6-495C-961A-124DB167B695}">
          <x14:formula1>
            <xm:f>'Data Validation'!$J$4:$J$7</xm:f>
          </x14:formula1>
          <xm:sqref>H4 Q4</xm:sqref>
        </x14:dataValidation>
        <x14:dataValidation type="list" allowBlank="1" showInputMessage="1" showErrorMessage="1" xr:uid="{214466DB-F186-44C1-A6F7-344846BCA768}">
          <x14:formula1>
            <xm:f>'Data Validation'!$L$4</xm:f>
          </x14:formula1>
          <xm:sqref>E10</xm:sqref>
        </x14:dataValidation>
        <x14:dataValidation type="list" allowBlank="1" showInputMessage="1" showErrorMessage="1" xr:uid="{70E14284-D938-4E4C-8B17-250CE4133D4C}">
          <x14:formula1>
            <xm:f>'Data Validation'!$N$4:$N$5</xm:f>
          </x14:formula1>
          <xm:sqref>E6 N6</xm:sqref>
        </x14:dataValidation>
        <x14:dataValidation type="list" allowBlank="1" showInputMessage="1" showErrorMessage="1" xr:uid="{2625D943-3E2E-4FD5-9694-3F9322979A1A}">
          <x14:formula1>
            <xm:f>'Data Validation'!$P$4:$P$5</xm:f>
          </x14:formula1>
          <xm:sqref>E8 N8</xm:sqref>
        </x14:dataValidation>
        <x14:dataValidation type="list" allowBlank="1" showInputMessage="1" showErrorMessage="1" xr:uid="{C8C38286-0FD1-4E63-8BAA-77B257A5DFE3}">
          <x14:formula1>
            <xm:f>'Data Validation'!$D$6:$D$8</xm:f>
          </x14:formula1>
          <xm:sqref>E4 N4</xm:sqref>
        </x14:dataValidation>
        <x14:dataValidation type="list" allowBlank="1" showInputMessage="1" showErrorMessage="1" xr:uid="{F5F3DDAD-7E81-40BA-BE2D-A58949107BEA}">
          <x14:formula1>
            <xm:f>'Data Validation'!$H$4:$H$5</xm:f>
          </x14:formula1>
          <xm:sqref>E12 N12</xm:sqref>
        </x14:dataValidation>
        <x14:dataValidation type="list" allowBlank="1" showInputMessage="1" showErrorMessage="1" xr:uid="{E2BBBD4C-5D35-47E0-9763-2E8A003E6865}">
          <x14:formula1>
            <xm:f>IF($E$6='Data Validation'!$N$5,'Data Validation'!$R$4:$R$5,'Data Validation'!$R$6)</xm:f>
          </x14:formula1>
          <xm:sqref>H6 Q6</xm:sqref>
        </x14:dataValidation>
        <x14:dataValidation type="list" allowBlank="1" showInputMessage="1" showErrorMessage="1" xr:uid="{2A0AC153-549D-4CA1-AD5C-64BD9B0B0341}">
          <x14:formula1>
            <xm:f>'Data Validation'!$H$4:$H$6</xm:f>
          </x14:formula1>
          <xm:sqref>H12 Q12</xm:sqref>
        </x14:dataValidation>
        <x14:dataValidation type="list" allowBlank="1" showInputMessage="1" showErrorMessage="1" xr:uid="{11F85DDD-A916-47E7-9B5D-F748C395240D}">
          <x14:formula1>
            <xm:f>'Data Validation'!$L$5</xm:f>
          </x14:formula1>
          <xm:sqref>N10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C510-93B9-42DC-AD44-5949B7A8D2F5}">
  <dimension ref="C4:T16"/>
  <sheetViews>
    <sheetView tabSelected="1" topLeftCell="A4" workbookViewId="0">
      <selection activeCell="M25" sqref="M25"/>
    </sheetView>
  </sheetViews>
  <sheetFormatPr defaultRowHeight="15" x14ac:dyDescent="0.25"/>
  <cols>
    <col min="1" max="2" width="9.140625" style="1"/>
    <col min="3" max="3" width="3.42578125" style="1" customWidth="1"/>
    <col min="4" max="18" width="9.140625" style="1"/>
    <col min="19" max="19" width="9.7109375" style="1" customWidth="1"/>
    <col min="20" max="20" width="4.140625" style="1" customWidth="1"/>
    <col min="21" max="16384" width="9.140625" style="1"/>
  </cols>
  <sheetData>
    <row r="4" spans="3:20" ht="15.75" thickBot="1" x14ac:dyDescent="0.3"/>
    <row r="5" spans="3:20" ht="15.75" customHeight="1" x14ac:dyDescent="0.25">
      <c r="C5" s="132"/>
      <c r="D5" s="135" t="s">
        <v>98</v>
      </c>
      <c r="E5" s="135"/>
      <c r="F5" s="135"/>
      <c r="G5" s="135"/>
      <c r="H5" s="135"/>
      <c r="I5" s="135"/>
      <c r="J5" s="135"/>
      <c r="K5" s="135"/>
      <c r="L5" s="135"/>
      <c r="M5" s="135"/>
      <c r="N5" s="135"/>
      <c r="O5" s="135"/>
      <c r="P5" s="135"/>
      <c r="Q5" s="135"/>
      <c r="R5" s="135"/>
      <c r="S5" s="135"/>
      <c r="T5" s="129"/>
    </row>
    <row r="6" spans="3:20" x14ac:dyDescent="0.25">
      <c r="C6" s="133"/>
      <c r="D6" s="136"/>
      <c r="E6" s="136"/>
      <c r="F6" s="136"/>
      <c r="G6" s="136"/>
      <c r="H6" s="136"/>
      <c r="I6" s="136"/>
      <c r="J6" s="136"/>
      <c r="K6" s="136"/>
      <c r="L6" s="136"/>
      <c r="M6" s="136"/>
      <c r="N6" s="136"/>
      <c r="O6" s="136"/>
      <c r="P6" s="136"/>
      <c r="Q6" s="136"/>
      <c r="R6" s="136"/>
      <c r="S6" s="136"/>
      <c r="T6" s="130"/>
    </row>
    <row r="7" spans="3:20" x14ac:dyDescent="0.25">
      <c r="C7" s="133"/>
      <c r="D7" s="136"/>
      <c r="E7" s="136"/>
      <c r="F7" s="136"/>
      <c r="G7" s="136"/>
      <c r="H7" s="136"/>
      <c r="I7" s="136"/>
      <c r="J7" s="136"/>
      <c r="K7" s="136"/>
      <c r="L7" s="136"/>
      <c r="M7" s="136"/>
      <c r="N7" s="136"/>
      <c r="O7" s="136"/>
      <c r="P7" s="136"/>
      <c r="Q7" s="136"/>
      <c r="R7" s="136"/>
      <c r="S7" s="136"/>
      <c r="T7" s="130"/>
    </row>
    <row r="8" spans="3:20" x14ac:dyDescent="0.25">
      <c r="C8" s="133"/>
      <c r="D8" s="136"/>
      <c r="E8" s="136"/>
      <c r="F8" s="136"/>
      <c r="G8" s="136"/>
      <c r="H8" s="136"/>
      <c r="I8" s="136"/>
      <c r="J8" s="136"/>
      <c r="K8" s="136"/>
      <c r="L8" s="136"/>
      <c r="M8" s="136"/>
      <c r="N8" s="136"/>
      <c r="O8" s="136"/>
      <c r="P8" s="136"/>
      <c r="Q8" s="136"/>
      <c r="R8" s="136"/>
      <c r="S8" s="136"/>
      <c r="T8" s="130"/>
    </row>
    <row r="9" spans="3:20" x14ac:dyDescent="0.25">
      <c r="C9" s="133"/>
      <c r="D9" s="136"/>
      <c r="E9" s="136"/>
      <c r="F9" s="136"/>
      <c r="G9" s="136"/>
      <c r="H9" s="136"/>
      <c r="I9" s="136"/>
      <c r="J9" s="136"/>
      <c r="K9" s="136"/>
      <c r="L9" s="136"/>
      <c r="M9" s="136"/>
      <c r="N9" s="136"/>
      <c r="O9" s="136"/>
      <c r="P9" s="136"/>
      <c r="Q9" s="136"/>
      <c r="R9" s="136"/>
      <c r="S9" s="136"/>
      <c r="T9" s="130"/>
    </row>
    <row r="10" spans="3:20" x14ac:dyDescent="0.25">
      <c r="C10" s="133"/>
      <c r="D10" s="136"/>
      <c r="E10" s="136"/>
      <c r="F10" s="136"/>
      <c r="G10" s="136"/>
      <c r="H10" s="136"/>
      <c r="I10" s="136"/>
      <c r="J10" s="136"/>
      <c r="K10" s="136"/>
      <c r="L10" s="136"/>
      <c r="M10" s="136"/>
      <c r="N10" s="136"/>
      <c r="O10" s="136"/>
      <c r="P10" s="136"/>
      <c r="Q10" s="136"/>
      <c r="R10" s="136"/>
      <c r="S10" s="136"/>
      <c r="T10" s="130"/>
    </row>
    <row r="11" spans="3:20" x14ac:dyDescent="0.25">
      <c r="C11" s="133"/>
      <c r="D11" s="136"/>
      <c r="E11" s="136"/>
      <c r="F11" s="136"/>
      <c r="G11" s="136"/>
      <c r="H11" s="136"/>
      <c r="I11" s="136"/>
      <c r="J11" s="136"/>
      <c r="K11" s="136"/>
      <c r="L11" s="136"/>
      <c r="M11" s="136"/>
      <c r="N11" s="136"/>
      <c r="O11" s="136"/>
      <c r="P11" s="136"/>
      <c r="Q11" s="136"/>
      <c r="R11" s="136"/>
      <c r="S11" s="136"/>
      <c r="T11" s="130"/>
    </row>
    <row r="12" spans="3:20" x14ac:dyDescent="0.25">
      <c r="C12" s="133"/>
      <c r="D12" s="136"/>
      <c r="E12" s="136"/>
      <c r="F12" s="136"/>
      <c r="G12" s="136"/>
      <c r="H12" s="136"/>
      <c r="I12" s="136"/>
      <c r="J12" s="136"/>
      <c r="K12" s="136"/>
      <c r="L12" s="136"/>
      <c r="M12" s="136"/>
      <c r="N12" s="136"/>
      <c r="O12" s="136"/>
      <c r="P12" s="136"/>
      <c r="Q12" s="136"/>
      <c r="R12" s="136"/>
      <c r="S12" s="136"/>
      <c r="T12" s="130"/>
    </row>
    <row r="13" spans="3:20" x14ac:dyDescent="0.25">
      <c r="C13" s="133"/>
      <c r="D13" s="136"/>
      <c r="E13" s="136"/>
      <c r="F13" s="136"/>
      <c r="G13" s="136"/>
      <c r="H13" s="136"/>
      <c r="I13" s="136"/>
      <c r="J13" s="136"/>
      <c r="K13" s="136"/>
      <c r="L13" s="136"/>
      <c r="M13" s="136"/>
      <c r="N13" s="136"/>
      <c r="O13" s="136"/>
      <c r="P13" s="136"/>
      <c r="Q13" s="136"/>
      <c r="R13" s="136"/>
      <c r="S13" s="136"/>
      <c r="T13" s="130"/>
    </row>
    <row r="14" spans="3:20" x14ac:dyDescent="0.25">
      <c r="C14" s="133"/>
      <c r="D14" s="136"/>
      <c r="E14" s="136"/>
      <c r="F14" s="136"/>
      <c r="G14" s="136"/>
      <c r="H14" s="136"/>
      <c r="I14" s="136"/>
      <c r="J14" s="136"/>
      <c r="K14" s="136"/>
      <c r="L14" s="136"/>
      <c r="M14" s="136"/>
      <c r="N14" s="136"/>
      <c r="O14" s="136"/>
      <c r="P14" s="136"/>
      <c r="Q14" s="136"/>
      <c r="R14" s="136"/>
      <c r="S14" s="136"/>
      <c r="T14" s="130"/>
    </row>
    <row r="15" spans="3:20" x14ac:dyDescent="0.25">
      <c r="C15" s="133"/>
      <c r="D15" s="136"/>
      <c r="E15" s="136"/>
      <c r="F15" s="136"/>
      <c r="G15" s="136"/>
      <c r="H15" s="136"/>
      <c r="I15" s="136"/>
      <c r="J15" s="136"/>
      <c r="K15" s="136"/>
      <c r="L15" s="136"/>
      <c r="M15" s="136"/>
      <c r="N15" s="136"/>
      <c r="O15" s="136"/>
      <c r="P15" s="136"/>
      <c r="Q15" s="136"/>
      <c r="R15" s="136"/>
      <c r="S15" s="136"/>
      <c r="T15" s="130"/>
    </row>
    <row r="16" spans="3:20" ht="15.75" thickBot="1" x14ac:dyDescent="0.3">
      <c r="C16" s="134"/>
      <c r="D16" s="137"/>
      <c r="E16" s="137"/>
      <c r="F16" s="137"/>
      <c r="G16" s="137"/>
      <c r="H16" s="137"/>
      <c r="I16" s="137"/>
      <c r="J16" s="137"/>
      <c r="K16" s="137"/>
      <c r="L16" s="137"/>
      <c r="M16" s="137"/>
      <c r="N16" s="137"/>
      <c r="O16" s="137"/>
      <c r="P16" s="137"/>
      <c r="Q16" s="137"/>
      <c r="R16" s="137"/>
      <c r="S16" s="137"/>
      <c r="T16" s="131"/>
    </row>
  </sheetData>
  <sheetProtection algorithmName="SHA-512" hashValue="AvtqV8/F4LQh9HXaSa6b+K4uYNqbkXb7FureBIixuzlOdKxhOkweIRWLQhp4cBEIfE7xV+T5P+kfwY7//5gXjw==" saltValue="RmBQ6nhGAMAfm0cGZnBi7A==" spinCount="100000" sheet="1" objects="1" scenarios="1"/>
  <mergeCells count="1">
    <mergeCell ref="D5:S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C6AE0-0E2A-4BB6-8D39-CD292BE32B3B}">
  <dimension ref="A1:O32"/>
  <sheetViews>
    <sheetView zoomScaleNormal="100" workbookViewId="0">
      <selection activeCell="T24" sqref="T24"/>
    </sheetView>
  </sheetViews>
  <sheetFormatPr defaultRowHeight="15" x14ac:dyDescent="0.25"/>
  <cols>
    <col min="1" max="3" width="9.140625" style="1"/>
    <col min="4" max="4" width="13.140625" style="1" customWidth="1"/>
    <col min="5" max="5" width="9.28515625" style="1" customWidth="1"/>
    <col min="6" max="17" width="9.140625" style="1"/>
    <col min="18" max="18" width="7" style="1" customWidth="1"/>
    <col min="19" max="16384" width="9.140625" style="1"/>
  </cols>
  <sheetData>
    <row r="1" spans="1:15" ht="15.75" x14ac:dyDescent="0.25">
      <c r="A1" s="124" t="s">
        <v>79</v>
      </c>
      <c r="B1" s="125"/>
      <c r="C1" s="125"/>
      <c r="D1" s="125"/>
      <c r="E1" s="125"/>
      <c r="F1" s="125"/>
      <c r="G1" s="125"/>
      <c r="H1" s="125"/>
      <c r="I1" s="125"/>
      <c r="J1" s="125"/>
      <c r="K1" s="125"/>
      <c r="L1" s="125"/>
      <c r="M1" s="125"/>
      <c r="N1" s="125"/>
      <c r="O1" s="125"/>
    </row>
    <row r="2" spans="1:15" ht="11.25" customHeight="1" x14ac:dyDescent="0.25">
      <c r="A2" s="120"/>
    </row>
    <row r="3" spans="1:15" ht="15.75" x14ac:dyDescent="0.25">
      <c r="A3" s="124" t="s">
        <v>80</v>
      </c>
      <c r="B3" s="125"/>
      <c r="C3" s="125"/>
      <c r="D3" s="125"/>
      <c r="E3" s="125"/>
      <c r="F3" s="125"/>
      <c r="G3" s="125"/>
      <c r="H3" s="125"/>
      <c r="I3" s="125"/>
      <c r="J3" s="125"/>
      <c r="K3" s="125"/>
      <c r="L3" s="125"/>
      <c r="M3" s="125"/>
      <c r="N3" s="125"/>
      <c r="O3" s="125"/>
    </row>
    <row r="4" spans="1:15" ht="15.75" x14ac:dyDescent="0.25">
      <c r="A4" s="122" t="s">
        <v>81</v>
      </c>
    </row>
    <row r="5" spans="1:15" ht="15.75" x14ac:dyDescent="0.25">
      <c r="A5" s="121"/>
    </row>
    <row r="6" spans="1:15" ht="15.75" x14ac:dyDescent="0.25">
      <c r="A6" s="124" t="s">
        <v>82</v>
      </c>
      <c r="B6" s="125"/>
      <c r="C6" s="125"/>
      <c r="D6" s="125"/>
      <c r="E6" s="125"/>
      <c r="F6" s="125"/>
      <c r="G6" s="125"/>
      <c r="H6" s="125"/>
      <c r="I6" s="125"/>
      <c r="J6" s="125"/>
      <c r="K6" s="125"/>
      <c r="L6" s="125"/>
      <c r="M6" s="125"/>
      <c r="N6" s="125"/>
      <c r="O6" s="125"/>
    </row>
    <row r="7" spans="1:15" ht="15.75" x14ac:dyDescent="0.25">
      <c r="A7" s="122" t="s">
        <v>83</v>
      </c>
    </row>
    <row r="8" spans="1:15" ht="11.25" customHeight="1" x14ac:dyDescent="0.25">
      <c r="A8" s="122"/>
    </row>
    <row r="9" spans="1:15" ht="15.75" x14ac:dyDescent="0.25">
      <c r="A9" s="128" t="s">
        <v>97</v>
      </c>
    </row>
    <row r="18" spans="1:15" ht="15.75" x14ac:dyDescent="0.25">
      <c r="A18" s="124" t="s">
        <v>84</v>
      </c>
      <c r="B18" s="125"/>
      <c r="C18" s="125"/>
      <c r="D18" s="125"/>
      <c r="E18" s="125"/>
      <c r="F18" s="125"/>
      <c r="G18" s="125"/>
      <c r="H18" s="125"/>
      <c r="I18" s="125"/>
      <c r="J18" s="125"/>
      <c r="K18" s="125"/>
      <c r="L18" s="125"/>
      <c r="M18" s="125"/>
      <c r="N18" s="125"/>
      <c r="O18" s="125"/>
    </row>
    <row r="19" spans="1:15" ht="15.75" x14ac:dyDescent="0.25">
      <c r="A19" s="122" t="s">
        <v>85</v>
      </c>
    </row>
    <row r="20" spans="1:15" ht="15.75" x14ac:dyDescent="0.25">
      <c r="A20" s="122"/>
    </row>
    <row r="21" spans="1:15" ht="15.75" x14ac:dyDescent="0.25">
      <c r="A21" s="124" t="s">
        <v>86</v>
      </c>
      <c r="B21" s="125"/>
      <c r="C21" s="125"/>
      <c r="D21" s="125"/>
      <c r="E21" s="125"/>
      <c r="F21" s="125"/>
      <c r="G21" s="125"/>
      <c r="H21" s="125"/>
      <c r="I21" s="125"/>
      <c r="J21" s="125"/>
      <c r="K21" s="125"/>
      <c r="L21" s="125"/>
      <c r="M21" s="125"/>
      <c r="N21" s="125"/>
      <c r="O21" s="125"/>
    </row>
    <row r="22" spans="1:15" ht="15.75" x14ac:dyDescent="0.25">
      <c r="A22" s="122" t="s">
        <v>87</v>
      </c>
    </row>
    <row r="23" spans="1:15" ht="15.75" x14ac:dyDescent="0.25">
      <c r="A23" s="122" t="s">
        <v>88</v>
      </c>
    </row>
    <row r="24" spans="1:15" ht="15.75" x14ac:dyDescent="0.25">
      <c r="A24" s="122" t="s">
        <v>89</v>
      </c>
    </row>
    <row r="25" spans="1:15" ht="15.75" x14ac:dyDescent="0.25">
      <c r="A25" s="122" t="s">
        <v>90</v>
      </c>
    </row>
    <row r="26" spans="1:15" ht="15.75" x14ac:dyDescent="0.25">
      <c r="A26" s="122"/>
    </row>
    <row r="27" spans="1:15" ht="15.75" x14ac:dyDescent="0.25">
      <c r="A27" s="124" t="s">
        <v>91</v>
      </c>
      <c r="B27" s="125"/>
      <c r="C27" s="125"/>
      <c r="D27" s="125"/>
      <c r="E27" s="125"/>
      <c r="F27" s="125"/>
      <c r="G27" s="125"/>
      <c r="H27" s="125"/>
      <c r="I27" s="125"/>
      <c r="J27" s="125"/>
      <c r="K27" s="125"/>
      <c r="L27" s="125"/>
      <c r="M27" s="125"/>
      <c r="N27" s="125"/>
      <c r="O27" s="125"/>
    </row>
    <row r="28" spans="1:15" ht="15.75" x14ac:dyDescent="0.25">
      <c r="A28" s="123" t="s">
        <v>94</v>
      </c>
    </row>
    <row r="29" spans="1:15" ht="15.75" x14ac:dyDescent="0.25">
      <c r="A29" s="123" t="s">
        <v>95</v>
      </c>
      <c r="E29" s="127" t="s">
        <v>92</v>
      </c>
    </row>
    <row r="31" spans="1:15" ht="15.75" x14ac:dyDescent="0.25">
      <c r="A31" s="124" t="s">
        <v>93</v>
      </c>
      <c r="B31" s="125"/>
      <c r="C31" s="125"/>
      <c r="D31" s="125"/>
      <c r="E31" s="125"/>
      <c r="F31" s="125"/>
      <c r="G31" s="125"/>
      <c r="H31" s="125"/>
      <c r="I31" s="125"/>
      <c r="J31" s="125"/>
      <c r="K31" s="125"/>
      <c r="L31" s="125"/>
      <c r="M31" s="125"/>
      <c r="N31" s="125"/>
      <c r="O31" s="125"/>
    </row>
    <row r="32" spans="1:15" ht="15.75" x14ac:dyDescent="0.25">
      <c r="A32" s="121" t="s">
        <v>96</v>
      </c>
      <c r="F32" s="126"/>
    </row>
  </sheetData>
  <sheetProtection algorithmName="SHA-512" hashValue="OHsGwLwtTa5P5CztqKwZArn1NVkGzVcIT+Q53/btMyzrsp5AebauHimBL6AM4FY81O7Uhk5OGQmDJyLRZayC9A==" saltValue="/cSgqyNU1TF5Rdfl/aB4VA==" spinCount="100000" sheet="1" objects="1" scenarios="1"/>
  <hyperlinks>
    <hyperlink ref="E29" r:id="rId1" display="https://www.burnaby.ca/our-city/programs-and-policies/community-benefit-bonus-policy-and-bylaw" xr:uid="{92F49D76-055F-4369-8AD9-E8F81B48F23A}"/>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F8E93-BAE6-433D-A488-E88BF8EE9356}">
  <dimension ref="B1:L67"/>
  <sheetViews>
    <sheetView zoomScale="80" zoomScaleNormal="80" zoomScaleSheetLayoutView="70" workbookViewId="0"/>
  </sheetViews>
  <sheetFormatPr defaultColWidth="9" defaultRowHeight="15" x14ac:dyDescent="0.25"/>
  <cols>
    <col min="1" max="1" width="7" style="1" customWidth="1"/>
    <col min="2" max="2" width="2.85546875" style="1" customWidth="1"/>
    <col min="3" max="3" width="50.140625" style="41" customWidth="1"/>
    <col min="4" max="4" width="3.5703125" style="41" customWidth="1"/>
    <col min="5" max="5" width="57.5703125" style="41" customWidth="1"/>
    <col min="6" max="6" width="1" style="41" customWidth="1"/>
    <col min="7" max="7" width="33.28515625" style="41" customWidth="1"/>
    <col min="8" max="8" width="50.5703125" style="41" customWidth="1"/>
    <col min="9" max="9" width="2.85546875" style="1" customWidth="1"/>
    <col min="10" max="10" width="5.140625" style="1" customWidth="1"/>
    <col min="11" max="11" width="9" style="1"/>
    <col min="12" max="12" width="12.5703125" style="1" bestFit="1" customWidth="1"/>
    <col min="13" max="16384" width="9" style="1"/>
  </cols>
  <sheetData>
    <row r="1" spans="2:12" ht="6.75" customHeight="1" x14ac:dyDescent="0.25"/>
    <row r="2" spans="2:12" ht="15" customHeight="1" x14ac:dyDescent="0.25">
      <c r="C2" s="42" t="s">
        <v>0</v>
      </c>
      <c r="D2" s="43"/>
      <c r="E2" s="11"/>
      <c r="F2" s="44">
        <v>1</v>
      </c>
      <c r="G2" s="44">
        <v>1</v>
      </c>
      <c r="H2" s="44">
        <v>1</v>
      </c>
    </row>
    <row r="3" spans="2:12" ht="3" customHeight="1" x14ac:dyDescent="0.25">
      <c r="C3" s="45"/>
      <c r="D3" s="43"/>
      <c r="E3" s="44">
        <v>1</v>
      </c>
      <c r="F3" s="44">
        <v>1</v>
      </c>
      <c r="G3" s="44">
        <v>1</v>
      </c>
      <c r="H3" s="44">
        <v>1</v>
      </c>
    </row>
    <row r="4" spans="2:12" ht="15" customHeight="1" x14ac:dyDescent="0.25">
      <c r="C4" s="42" t="s">
        <v>5</v>
      </c>
      <c r="D4" s="43"/>
      <c r="E4" s="12"/>
      <c r="F4" s="44">
        <v>1</v>
      </c>
      <c r="G4" s="42" t="s">
        <v>6</v>
      </c>
      <c r="H4" s="12"/>
    </row>
    <row r="5" spans="2:12" ht="3" customHeight="1" x14ac:dyDescent="0.25">
      <c r="E5" s="44">
        <v>1</v>
      </c>
      <c r="F5" s="44">
        <v>1</v>
      </c>
      <c r="G5" s="44">
        <v>1</v>
      </c>
      <c r="H5" s="44">
        <v>1</v>
      </c>
    </row>
    <row r="6" spans="2:12" ht="15" customHeight="1" x14ac:dyDescent="0.25">
      <c r="C6" s="42" t="s">
        <v>31</v>
      </c>
      <c r="D6" s="43"/>
      <c r="E6" s="12"/>
      <c r="F6" s="44">
        <v>1</v>
      </c>
      <c r="G6" s="42" t="s">
        <v>22</v>
      </c>
      <c r="H6" s="12"/>
    </row>
    <row r="7" spans="2:12" ht="3" customHeight="1" x14ac:dyDescent="0.25">
      <c r="C7" s="45"/>
      <c r="D7" s="43"/>
      <c r="E7" s="44">
        <v>1</v>
      </c>
      <c r="F7" s="44">
        <v>1</v>
      </c>
      <c r="G7" s="46">
        <v>1</v>
      </c>
      <c r="H7" s="44">
        <v>1</v>
      </c>
    </row>
    <row r="8" spans="2:12" ht="15" customHeight="1" x14ac:dyDescent="0.25">
      <c r="B8" s="25"/>
      <c r="C8" s="42" t="s">
        <v>30</v>
      </c>
      <c r="D8" s="43"/>
      <c r="E8" s="12"/>
      <c r="F8" s="44">
        <v>1</v>
      </c>
      <c r="G8" s="44">
        <v>1</v>
      </c>
      <c r="H8" s="44">
        <v>1</v>
      </c>
      <c r="I8" s="25"/>
    </row>
    <row r="9" spans="2:12" ht="3" customHeight="1" x14ac:dyDescent="0.25">
      <c r="C9" s="45"/>
      <c r="D9" s="43"/>
      <c r="E9" s="44">
        <v>1</v>
      </c>
      <c r="F9" s="44">
        <v>1</v>
      </c>
      <c r="G9" s="46">
        <v>1</v>
      </c>
      <c r="H9" s="44">
        <v>1</v>
      </c>
    </row>
    <row r="10" spans="2:12" ht="15" hidden="1" customHeight="1" x14ac:dyDescent="0.25">
      <c r="C10" s="42" t="s">
        <v>7</v>
      </c>
      <c r="D10" s="43"/>
      <c r="E10" s="116" t="s">
        <v>35</v>
      </c>
      <c r="F10" s="44">
        <v>1</v>
      </c>
      <c r="G10" s="44">
        <v>1</v>
      </c>
      <c r="H10" s="44">
        <v>1</v>
      </c>
      <c r="L10" s="24"/>
    </row>
    <row r="11" spans="2:12" ht="3" hidden="1" customHeight="1" x14ac:dyDescent="0.25">
      <c r="C11" s="45"/>
      <c r="D11" s="43"/>
      <c r="E11" s="44">
        <v>1</v>
      </c>
      <c r="F11" s="44">
        <v>1</v>
      </c>
      <c r="G11" s="44">
        <v>1</v>
      </c>
      <c r="H11" s="44">
        <v>1</v>
      </c>
    </row>
    <row r="12" spans="2:12" ht="15" customHeight="1" x14ac:dyDescent="0.25">
      <c r="C12" s="42" t="s">
        <v>57</v>
      </c>
      <c r="D12" s="43"/>
      <c r="E12" s="12"/>
      <c r="F12" s="44">
        <v>1</v>
      </c>
      <c r="G12" s="42" t="s">
        <v>58</v>
      </c>
      <c r="H12" s="12"/>
    </row>
    <row r="13" spans="2:12" ht="3" customHeight="1" x14ac:dyDescent="0.25">
      <c r="C13" s="45"/>
      <c r="D13" s="43"/>
      <c r="E13" s="44">
        <v>1</v>
      </c>
      <c r="F13" s="44">
        <v>1</v>
      </c>
      <c r="G13" s="47">
        <v>1</v>
      </c>
      <c r="H13" s="44">
        <v>1</v>
      </c>
    </row>
    <row r="14" spans="2:12" ht="15" customHeight="1" x14ac:dyDescent="0.25">
      <c r="C14" s="42" t="s">
        <v>77</v>
      </c>
      <c r="D14" s="43"/>
      <c r="E14" s="13"/>
      <c r="F14" s="44">
        <v>1</v>
      </c>
      <c r="G14" s="42" t="s">
        <v>78</v>
      </c>
      <c r="H14" s="13"/>
    </row>
    <row r="15" spans="2:12" ht="3" customHeight="1" x14ac:dyDescent="0.25">
      <c r="C15" s="45"/>
      <c r="D15" s="43"/>
      <c r="E15" s="44">
        <v>1</v>
      </c>
      <c r="F15" s="44">
        <v>1</v>
      </c>
      <c r="G15" s="47">
        <v>1</v>
      </c>
      <c r="H15" s="44">
        <v>0</v>
      </c>
    </row>
    <row r="16" spans="2:12" ht="15" customHeight="1" x14ac:dyDescent="0.25">
      <c r="C16" s="42" t="s">
        <v>74</v>
      </c>
      <c r="D16" s="43"/>
      <c r="E16" s="14"/>
      <c r="F16" s="44">
        <v>1</v>
      </c>
      <c r="G16" s="42" t="s">
        <v>75</v>
      </c>
      <c r="H16" s="14"/>
    </row>
    <row r="17" spans="3:12" ht="6" customHeight="1" x14ac:dyDescent="0.25">
      <c r="C17" s="48"/>
      <c r="D17" s="48"/>
      <c r="E17" s="48"/>
      <c r="F17" s="43"/>
      <c r="G17" s="48"/>
      <c r="H17" s="48"/>
    </row>
    <row r="18" spans="3:12" ht="15" customHeight="1" x14ac:dyDescent="0.25">
      <c r="C18" s="138" t="s">
        <v>40</v>
      </c>
      <c r="D18" s="138"/>
      <c r="E18" s="138"/>
      <c r="F18" s="138"/>
      <c r="G18" s="138"/>
      <c r="H18" s="138"/>
    </row>
    <row r="19" spans="3:12" ht="5.0999999999999996" customHeight="1" x14ac:dyDescent="0.25">
      <c r="C19" s="49"/>
    </row>
    <row r="20" spans="3:12" ht="15" customHeight="1" x14ac:dyDescent="0.25">
      <c r="C20" s="139" t="s">
        <v>59</v>
      </c>
      <c r="D20" s="139"/>
      <c r="E20" s="140" t="str">
        <f>IF(E8='Data Validation'!P5,"Minimum  "&amp;TEXT(H42,"#,##0")&amp;" housing units with GFA of "&amp;TEXT(H47,"#,##0")&amp;" "&amp;E10&amp;"","$"&amp;TEXT(H52,"#,##0")&amp;" Payment in Lieu")</f>
        <v>$0 Payment in Lieu</v>
      </c>
      <c r="F20" s="140"/>
      <c r="G20" s="140"/>
      <c r="L20" s="52"/>
    </row>
    <row r="21" spans="3:12" ht="15" customHeight="1" x14ac:dyDescent="0.25">
      <c r="C21" s="139" t="s">
        <v>60</v>
      </c>
      <c r="D21" s="139"/>
      <c r="E21" s="141" t="e">
        <f>IF(E6='Data Validation'!N5,LEFT(H6,10)&amp;" Amenity with GFA of "&amp;TEXT(H64,"#,##0")&amp;" "&amp;E10,"$"&amp;TEXT(H59,"#,##0")&amp;" Payment in Lieu")</f>
        <v>#N/A</v>
      </c>
      <c r="F21" s="141"/>
      <c r="G21" s="141"/>
    </row>
    <row r="22" spans="3:12" ht="15" customHeight="1" x14ac:dyDescent="0.25">
      <c r="C22" s="142" t="s">
        <v>61</v>
      </c>
      <c r="D22" s="142"/>
      <c r="E22" s="143" t="e">
        <f>H35</f>
        <v>#N/A</v>
      </c>
      <c r="F22" s="143"/>
      <c r="G22" s="143"/>
      <c r="H22" s="53"/>
      <c r="L22" s="24"/>
    </row>
    <row r="23" spans="3:12" ht="5.0999999999999996" customHeight="1" x14ac:dyDescent="0.25"/>
    <row r="24" spans="3:12" ht="17.25" customHeight="1" x14ac:dyDescent="0.25">
      <c r="C24" s="138" t="s">
        <v>39</v>
      </c>
      <c r="D24" s="138"/>
      <c r="E24" s="138"/>
      <c r="F24" s="138"/>
      <c r="G24" s="138"/>
      <c r="H24" s="138"/>
    </row>
    <row r="25" spans="3:12" ht="3" customHeight="1" x14ac:dyDescent="0.25"/>
    <row r="26" spans="3:12" s="57" customFormat="1" ht="17.25" customHeight="1" x14ac:dyDescent="0.25">
      <c r="C26" s="54" t="s">
        <v>33</v>
      </c>
      <c r="D26" s="54"/>
      <c r="E26" s="54"/>
      <c r="F26" s="55"/>
      <c r="G26" s="55"/>
      <c r="H26" s="56"/>
    </row>
    <row r="27" spans="3:12" ht="3" customHeight="1" x14ac:dyDescent="0.25"/>
    <row r="28" spans="3:12" s="61" customFormat="1" ht="4.5" customHeight="1" x14ac:dyDescent="0.15">
      <c r="C28" s="58"/>
      <c r="D28" s="59"/>
      <c r="E28" s="59"/>
      <c r="F28" s="59"/>
      <c r="G28" s="59"/>
      <c r="H28" s="60"/>
    </row>
    <row r="29" spans="3:12" ht="15" customHeight="1" x14ac:dyDescent="0.25">
      <c r="C29" s="62" t="s">
        <v>62</v>
      </c>
      <c r="D29" s="63" t="s">
        <v>25</v>
      </c>
      <c r="E29" s="64" t="str">
        <f>" Floor Area of Community Benefit Bonus, Bonus Units Type 1, "&amp;E10</f>
        <v xml:space="preserve"> Floor Area of Community Benefit Bonus, Bonus Units Type 1, sq.ft</v>
      </c>
      <c r="F29" s="65"/>
      <c r="G29" s="66" t="s">
        <v>13</v>
      </c>
      <c r="H29" s="67" t="s">
        <v>36</v>
      </c>
      <c r="L29" s="26"/>
    </row>
    <row r="30" spans="3:12" ht="15" customHeight="1" x14ac:dyDescent="0.25">
      <c r="C30" s="68" t="e" cm="1">
        <f t="array" ref="C30">INDEX(Rates!G5:G52,MATCH(1,(Calculator!E4=Rates!C5:C52)*(E12=Rates!D5:D52)*(Calculator!E10=Rates!E5:E52)*(Calculator!H4=Rates!F5:F52),0))</f>
        <v>#N/A</v>
      </c>
      <c r="D30" s="63" t="s">
        <v>25</v>
      </c>
      <c r="E30" s="69">
        <f>E14</f>
        <v>0</v>
      </c>
      <c r="F30" s="65"/>
      <c r="G30" s="66" t="s">
        <v>13</v>
      </c>
      <c r="H30" s="70" t="e">
        <f>C30*E30</f>
        <v>#N/A</v>
      </c>
      <c r="L30" s="26"/>
    </row>
    <row r="31" spans="3:12" ht="5.0999999999999996" customHeight="1" x14ac:dyDescent="0.25">
      <c r="C31" s="62"/>
      <c r="D31" s="63"/>
      <c r="E31" s="69"/>
      <c r="F31" s="65"/>
      <c r="G31" s="66"/>
      <c r="H31" s="70"/>
      <c r="L31" s="26"/>
    </row>
    <row r="32" spans="3:12" ht="15" customHeight="1" x14ac:dyDescent="0.25">
      <c r="C32" s="62" t="s">
        <v>63</v>
      </c>
      <c r="D32" s="63" t="s">
        <v>25</v>
      </c>
      <c r="E32" s="64" t="str">
        <f>" Floor Area of Community Benefit Bonus, Bonus Units Type 2, "&amp;E10</f>
        <v xml:space="preserve"> Floor Area of Community Benefit Bonus, Bonus Units Type 2, sq.ft</v>
      </c>
      <c r="F32" s="65"/>
      <c r="G32" s="66" t="s">
        <v>13</v>
      </c>
      <c r="H32" s="67" t="s">
        <v>36</v>
      </c>
      <c r="L32" s="26"/>
    </row>
    <row r="33" spans="3:12" ht="15" customHeight="1" x14ac:dyDescent="0.25">
      <c r="C33" s="68" t="e" cm="1">
        <f t="array" ref="C33">IF(H12='Data Validation'!H6,0,INDEX(Rates!G5:G52,MATCH(1,(Calculator!E4=Rates!C5:C52)*(H12=Rates!D5:D52)*(Calculator!E10=Rates!E5:E52)*(Calculator!H4=Rates!F5:F52),0)))</f>
        <v>#N/A</v>
      </c>
      <c r="D33" s="63" t="s">
        <v>25</v>
      </c>
      <c r="E33" s="69">
        <f>IF(H12='Data Validation'!H6,0,H14)</f>
        <v>0</v>
      </c>
      <c r="F33" s="65"/>
      <c r="G33" s="66" t="s">
        <v>13</v>
      </c>
      <c r="H33" s="70" t="e">
        <f>C33*E33</f>
        <v>#N/A</v>
      </c>
      <c r="L33" s="26"/>
    </row>
    <row r="34" spans="3:12" ht="3" customHeight="1" x14ac:dyDescent="0.25">
      <c r="C34" s="62"/>
      <c r="D34" s="63"/>
      <c r="E34" s="69"/>
      <c r="F34" s="65"/>
      <c r="G34" s="66"/>
      <c r="H34" s="70"/>
      <c r="L34" s="26"/>
    </row>
    <row r="35" spans="3:12" ht="15" customHeight="1" x14ac:dyDescent="0.25">
      <c r="C35" s="27"/>
      <c r="D35" s="63"/>
      <c r="E35" s="28"/>
      <c r="F35" s="66"/>
      <c r="G35" s="71" t="s">
        <v>64</v>
      </c>
      <c r="H35" s="72" t="e">
        <f>H30+H33</f>
        <v>#N/A</v>
      </c>
    </row>
    <row r="36" spans="3:12" s="61" customFormat="1" ht="5.0999999999999996" customHeight="1" x14ac:dyDescent="0.15">
      <c r="C36" s="73"/>
      <c r="D36" s="74"/>
      <c r="E36" s="74"/>
      <c r="F36" s="75"/>
      <c r="G36" s="75"/>
      <c r="H36" s="76"/>
    </row>
    <row r="37" spans="3:12" ht="6" customHeight="1" x14ac:dyDescent="0.25">
      <c r="F37" s="66"/>
      <c r="G37" s="66"/>
      <c r="H37" s="49"/>
    </row>
    <row r="38" spans="3:12" s="57" customFormat="1" ht="17.25" customHeight="1" x14ac:dyDescent="0.25">
      <c r="C38" s="54" t="s">
        <v>26</v>
      </c>
      <c r="D38" s="54"/>
      <c r="E38" s="54"/>
      <c r="F38" s="55"/>
      <c r="G38" s="55"/>
      <c r="H38" s="77"/>
    </row>
    <row r="39" spans="3:12" ht="3" customHeight="1" x14ac:dyDescent="0.25">
      <c r="F39" s="66"/>
      <c r="G39" s="66"/>
      <c r="H39" s="49"/>
    </row>
    <row r="40" spans="3:12" ht="5.0999999999999996" customHeight="1" x14ac:dyDescent="0.25">
      <c r="C40" s="78"/>
      <c r="D40" s="53"/>
      <c r="E40" s="53"/>
      <c r="F40" s="79"/>
      <c r="G40" s="79"/>
      <c r="H40" s="80"/>
    </row>
    <row r="41" spans="3:12" s="83" customFormat="1" ht="15" customHeight="1" x14ac:dyDescent="0.25">
      <c r="C41" s="81" t="s">
        <v>16</v>
      </c>
      <c r="D41" s="63" t="s">
        <v>25</v>
      </c>
      <c r="E41" s="82">
        <v>0.1</v>
      </c>
      <c r="F41" s="65"/>
      <c r="G41" s="66" t="s">
        <v>13</v>
      </c>
      <c r="H41" s="67" t="s">
        <v>15</v>
      </c>
    </row>
    <row r="42" spans="3:12" ht="15" customHeight="1" x14ac:dyDescent="0.25">
      <c r="C42" s="29">
        <f>(E16+H16)</f>
        <v>0</v>
      </c>
      <c r="D42" s="63" t="s">
        <v>25</v>
      </c>
      <c r="E42" s="30">
        <v>0.1</v>
      </c>
      <c r="F42" s="66"/>
      <c r="G42" s="66" t="s">
        <v>13</v>
      </c>
      <c r="H42" s="32">
        <f>ROUND(C42*E42,0)</f>
        <v>0</v>
      </c>
    </row>
    <row r="43" spans="3:12" ht="5.0999999999999996" customHeight="1" x14ac:dyDescent="0.25">
      <c r="C43" s="84"/>
      <c r="D43" s="85"/>
      <c r="E43" s="86"/>
      <c r="F43" s="85"/>
      <c r="G43" s="85"/>
      <c r="H43" s="87"/>
    </row>
    <row r="44" spans="3:12" ht="3" customHeight="1" x14ac:dyDescent="0.25">
      <c r="D44" s="66"/>
      <c r="F44" s="66"/>
      <c r="G44" s="66"/>
      <c r="H44" s="49"/>
    </row>
    <row r="45" spans="3:12" ht="5.0999999999999996" customHeight="1" x14ac:dyDescent="0.25">
      <c r="C45" s="78"/>
      <c r="D45" s="79"/>
      <c r="E45" s="53"/>
      <c r="F45" s="79"/>
      <c r="G45" s="79"/>
      <c r="H45" s="80"/>
    </row>
    <row r="46" spans="3:12" ht="15" customHeight="1" x14ac:dyDescent="0.25">
      <c r="C46" s="81" t="s">
        <v>17</v>
      </c>
      <c r="D46" s="63" t="s">
        <v>25</v>
      </c>
      <c r="E46" s="88" t="str">
        <f>IF(E10='Data Validation'!L4,"55.74 sq.m","598sq.ft")</f>
        <v>598sq.ft</v>
      </c>
      <c r="F46" s="65"/>
      <c r="G46" s="66" t="s">
        <v>13</v>
      </c>
      <c r="H46" s="67" t="str">
        <f>"Minimum required CBB Housing area, "&amp;E10</f>
        <v>Minimum required CBB Housing area, sq.ft</v>
      </c>
    </row>
    <row r="47" spans="3:12" ht="15" customHeight="1" x14ac:dyDescent="0.25">
      <c r="C47" s="29">
        <f>H42</f>
        <v>0</v>
      </c>
      <c r="D47" s="63" t="s">
        <v>25</v>
      </c>
      <c r="E47" s="28">
        <f>IF(E10='Data Validation'!L4,55.74,598)</f>
        <v>598</v>
      </c>
      <c r="F47" s="65"/>
      <c r="G47" s="66" t="s">
        <v>13</v>
      </c>
      <c r="H47" s="32">
        <f>C47*E47</f>
        <v>0</v>
      </c>
    </row>
    <row r="48" spans="3:12" ht="5.0999999999999996" customHeight="1" x14ac:dyDescent="0.25">
      <c r="C48" s="89"/>
      <c r="D48" s="90"/>
      <c r="E48" s="91"/>
      <c r="F48" s="92"/>
      <c r="G48" s="85"/>
      <c r="H48" s="93"/>
    </row>
    <row r="49" spans="3:8" ht="3" customHeight="1" x14ac:dyDescent="0.25">
      <c r="C49" s="94"/>
      <c r="D49" s="65"/>
      <c r="F49" s="65"/>
      <c r="G49" s="66"/>
      <c r="H49" s="95"/>
    </row>
    <row r="50" spans="3:8" ht="5.0999999999999996" customHeight="1" x14ac:dyDescent="0.25">
      <c r="C50" s="96"/>
      <c r="D50" s="97"/>
      <c r="E50" s="53"/>
      <c r="F50" s="97"/>
      <c r="G50" s="79"/>
      <c r="H50" s="98"/>
    </row>
    <row r="51" spans="3:8" ht="15" customHeight="1" x14ac:dyDescent="0.25">
      <c r="C51" s="62" t="str">
        <f>H46</f>
        <v>Minimum required CBB Housing area, sq.ft</v>
      </c>
      <c r="D51" s="63" t="s">
        <v>25</v>
      </c>
      <c r="E51" s="64" t="s">
        <v>28</v>
      </c>
      <c r="F51" s="65"/>
      <c r="G51" s="66" t="s">
        <v>13</v>
      </c>
      <c r="H51" s="67" t="s">
        <v>37</v>
      </c>
    </row>
    <row r="52" spans="3:8" ht="15" customHeight="1" x14ac:dyDescent="0.25">
      <c r="C52" s="33">
        <f>H47</f>
        <v>0</v>
      </c>
      <c r="D52" s="63" t="s">
        <v>25</v>
      </c>
      <c r="E52" s="37">
        <f>INDEX(Rates!E63:E64,MATCH(Calculator!E10,Rates!D63:D64,0))</f>
        <v>625</v>
      </c>
      <c r="F52" s="66"/>
      <c r="G52" s="66" t="s">
        <v>13</v>
      </c>
      <c r="H52" s="34">
        <f>C52*E52</f>
        <v>0</v>
      </c>
    </row>
    <row r="53" spans="3:8" ht="5.0999999999999996" customHeight="1" x14ac:dyDescent="0.25">
      <c r="C53" s="89"/>
      <c r="D53" s="90"/>
      <c r="E53" s="35"/>
      <c r="F53" s="85"/>
      <c r="G53" s="85"/>
      <c r="H53" s="36"/>
    </row>
    <row r="54" spans="3:8" ht="3" customHeight="1" x14ac:dyDescent="0.25">
      <c r="D54" s="66"/>
      <c r="F54" s="66"/>
      <c r="G54" s="66"/>
      <c r="H54" s="49"/>
    </row>
    <row r="55" spans="3:8" s="57" customFormat="1" ht="17.25" customHeight="1" x14ac:dyDescent="0.25">
      <c r="C55" s="54" t="s">
        <v>27</v>
      </c>
      <c r="D55" s="54"/>
      <c r="E55" s="54"/>
      <c r="F55" s="55"/>
      <c r="G55" s="55"/>
      <c r="H55" s="77"/>
    </row>
    <row r="56" spans="3:8" ht="3" customHeight="1" x14ac:dyDescent="0.25">
      <c r="C56" s="66"/>
      <c r="D56" s="66"/>
      <c r="E56" s="66"/>
      <c r="H56" s="99"/>
    </row>
    <row r="57" spans="3:8" ht="5.0999999999999996" customHeight="1" x14ac:dyDescent="0.25">
      <c r="C57" s="100"/>
      <c r="D57" s="79"/>
      <c r="E57" s="79"/>
      <c r="F57" s="53"/>
      <c r="G57" s="53"/>
      <c r="H57" s="101"/>
    </row>
    <row r="58" spans="3:8" s="83" customFormat="1" ht="15" customHeight="1" x14ac:dyDescent="0.25">
      <c r="C58" s="81" t="str">
        <f>H29</f>
        <v>Community Benefit Value, $</v>
      </c>
      <c r="D58" s="102" t="s">
        <v>34</v>
      </c>
      <c r="E58" s="82" t="str">
        <f>H51</f>
        <v>Minimum CBB Housing Payment-in-lieu amount, $</v>
      </c>
      <c r="F58" s="65"/>
      <c r="G58" s="66" t="s">
        <v>13</v>
      </c>
      <c r="H58" s="67" t="s">
        <v>38</v>
      </c>
    </row>
    <row r="59" spans="3:8" s="57" customFormat="1" ht="15" customHeight="1" x14ac:dyDescent="0.25">
      <c r="C59" s="33" t="e">
        <f>H35</f>
        <v>#N/A</v>
      </c>
      <c r="D59" s="102" t="s">
        <v>34</v>
      </c>
      <c r="E59" s="37">
        <f>H52</f>
        <v>0</v>
      </c>
      <c r="F59" s="66"/>
      <c r="G59" s="66" t="s">
        <v>13</v>
      </c>
      <c r="H59" s="34" t="e">
        <f>C59-E59</f>
        <v>#N/A</v>
      </c>
    </row>
    <row r="60" spans="3:8" ht="5.0999999999999996" customHeight="1" x14ac:dyDescent="0.25">
      <c r="C60" s="103"/>
      <c r="D60" s="86"/>
      <c r="E60" s="91"/>
      <c r="F60" s="86"/>
      <c r="G60" s="86"/>
      <c r="H60" s="87"/>
    </row>
    <row r="61" spans="3:8" ht="3" customHeight="1" x14ac:dyDescent="0.25">
      <c r="C61" s="50"/>
      <c r="E61" s="49"/>
      <c r="H61" s="49"/>
    </row>
    <row r="62" spans="3:8" ht="5.0999999999999996" customHeight="1" x14ac:dyDescent="0.25">
      <c r="C62" s="104"/>
      <c r="D62" s="53"/>
      <c r="E62" s="105"/>
      <c r="F62" s="53"/>
      <c r="G62" s="53"/>
      <c r="H62" s="80"/>
    </row>
    <row r="63" spans="3:8" ht="15" customHeight="1" x14ac:dyDescent="0.25">
      <c r="C63" s="81" t="s">
        <v>23</v>
      </c>
      <c r="D63" s="106" t="s">
        <v>24</v>
      </c>
      <c r="E63" s="82" t="str">
        <f>"Capital Cost Rate-"&amp;IF(H6='Data Validation'!R4,'Data Validation'!R4,'Data Validation'!R5)</f>
        <v>Capital Cost Rate-Category 2- Social service centres and child care facilities</v>
      </c>
      <c r="F63" s="65"/>
      <c r="G63" s="66" t="s">
        <v>13</v>
      </c>
      <c r="H63" s="67" t="str">
        <f>"CBB Amenity area, "&amp;E10</f>
        <v>CBB Amenity area, sq.ft</v>
      </c>
    </row>
    <row r="64" spans="3:8" s="107" customFormat="1" ht="15" customHeight="1" x14ac:dyDescent="0.25">
      <c r="C64" s="33" t="e">
        <f>H59</f>
        <v>#N/A</v>
      </c>
      <c r="D64" s="106" t="s">
        <v>24</v>
      </c>
      <c r="E64" s="37" t="e" cm="1">
        <f t="array" ref="E64">INDEX(Rates!E57:E60,MATCH(1,(Calculator!H6=Rates!C57:C60)*(Calculator!E10=Rates!D57:D60),0))</f>
        <v>#N/A</v>
      </c>
      <c r="F64" s="66"/>
      <c r="G64" s="66" t="s">
        <v>13</v>
      </c>
      <c r="H64" s="32" t="e">
        <f>C64/E64</f>
        <v>#N/A</v>
      </c>
    </row>
    <row r="65" spans="3:8" ht="5.0999999999999996" customHeight="1" x14ac:dyDescent="0.25">
      <c r="C65" s="103"/>
      <c r="D65" s="86"/>
      <c r="E65" s="86"/>
      <c r="F65" s="86"/>
      <c r="G65" s="86"/>
      <c r="H65" s="108"/>
    </row>
    <row r="67" spans="3:8" x14ac:dyDescent="0.25">
      <c r="E67" s="102"/>
    </row>
  </sheetData>
  <sheetProtection algorithmName="SHA-512" hashValue="r7HIMkQFTRx+BXUXpITw8AUxmWxvjY5W9rzAJgFUrMDmG4e/5Hdgtj1SfZ+/Dkg9HkAYFta+fpWtiVvUV1hZtQ==" saltValue="D4WlwHqYe3WkZNNYe5T1vw==" spinCount="100000" sheet="1" objects="1" scenarios="1"/>
  <mergeCells count="8">
    <mergeCell ref="C24:H24"/>
    <mergeCell ref="E20:G20"/>
    <mergeCell ref="E21:G21"/>
    <mergeCell ref="E22:G22"/>
    <mergeCell ref="C18:H18"/>
    <mergeCell ref="C20:D20"/>
    <mergeCell ref="C21:D21"/>
    <mergeCell ref="C22:D22"/>
  </mergeCells>
  <conditionalFormatting sqref="A18:H68">
    <cfRule type="expression" dxfId="4" priority="3">
      <formula>COUNTBLANK($E$2:$H$16)&gt;0</formula>
    </cfRule>
  </conditionalFormatting>
  <dataValidations count="2">
    <dataValidation type="custom" allowBlank="1" showInputMessage="1" showErrorMessage="1" errorTitle="Must be Zero" error="When Bonus Unit Type 2 is selected as &quot;None: All Bonus Density is Type 1&quot;, Bonus Units Type 2-Number of Units must be zero" sqref="H16" xr:uid="{77C6AB8D-8791-4A6A-9CC5-E08B4DA828FF}">
      <formula1>IF($H$12="None: All Bonus Density is Type 1", H16=0, TRUE)</formula1>
    </dataValidation>
    <dataValidation type="custom" allowBlank="1" showInputMessage="1" showErrorMessage="1" errorTitle="Must be Zero" error="When Bonus Unit Type 2 is selected as &quot;None: All Bonus Density is Type 1&quot;, Bonus Units Type 2-GFA, sq.m must be zero" sqref="H14" xr:uid="{0A6E20E7-35D0-48E0-983B-5B5B01F59485}">
      <formula1>IF($H$12="None: All Bonus Density is Type 1", H14=0, TRUE)</formula1>
    </dataValidation>
  </dataValidations>
  <pageMargins left="0.7" right="0.7" top="0.75" bottom="0.75" header="0.3" footer="0.3"/>
  <pageSetup scale="43" orientation="landscape" r:id="rId1"/>
  <ignoredErrors>
    <ignoredError sqref="C20:H21 C34:H41 D33 F33:H33 C22:H28 C64:H64 C63:G63 C43:H62 C42:G42 C30:H31 D29 F29:H29 C32:D32 F32:H32" evalError="1"/>
  </ignoredErrors>
  <extLst>
    <ext xmlns:x14="http://schemas.microsoft.com/office/spreadsheetml/2009/9/main" uri="{78C0D931-6437-407d-A8EE-F0AAD7539E65}">
      <x14:conditionalFormattings>
        <x14:conditionalFormatting xmlns:xm="http://schemas.microsoft.com/office/excel/2006/main">
          <x14:cfRule type="expression" priority="2" id="{E277B0B1-BBE5-48CC-B7A7-CDD8D615D885}">
            <xm:f>$E$6='Data Validation'!$N$4</xm:f>
            <x14:dxf>
              <font>
                <b val="0"/>
                <i val="0"/>
                <color theme="0"/>
              </font>
              <border>
                <left/>
                <right/>
                <top/>
                <bottom/>
                <vertical/>
                <horizontal/>
              </border>
            </x14:dxf>
          </x14:cfRule>
          <xm:sqref>A62:I66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48220D32-B4A1-4BC2-BDA5-0B4DE5805FA8}">
          <x14:formula1>
            <xm:f>'Data Validation'!$J$4:$J$7</xm:f>
          </x14:formula1>
          <xm:sqref>H4</xm:sqref>
        </x14:dataValidation>
        <x14:dataValidation type="list" allowBlank="1" showInputMessage="1" showErrorMessage="1" xr:uid="{BA4E3120-45EB-45FA-8DC4-B27E15264878}">
          <x14:formula1>
            <xm:f>'Data Validation'!$L$5</xm:f>
          </x14:formula1>
          <xm:sqref>E10</xm:sqref>
        </x14:dataValidation>
        <x14:dataValidation type="list" allowBlank="1" showInputMessage="1" showErrorMessage="1" xr:uid="{D0C13FEF-49C9-4678-A1EA-3E7FFAE1A415}">
          <x14:formula1>
            <xm:f>'Data Validation'!$N$4:$N$5</xm:f>
          </x14:formula1>
          <xm:sqref>E6</xm:sqref>
        </x14:dataValidation>
        <x14:dataValidation type="list" allowBlank="1" showInputMessage="1" showErrorMessage="1" xr:uid="{B30D9767-E6B7-41EF-A2E7-E2691D1ADEC2}">
          <x14:formula1>
            <xm:f>'Data Validation'!$P$4:$P$5</xm:f>
          </x14:formula1>
          <xm:sqref>E8</xm:sqref>
        </x14:dataValidation>
        <x14:dataValidation type="list" allowBlank="1" showInputMessage="1" showErrorMessage="1" xr:uid="{807EF4F3-A31D-40ED-9A44-BC2EB603A195}">
          <x14:formula1>
            <xm:f>'Data Validation'!$D$6:$D$8</xm:f>
          </x14:formula1>
          <xm:sqref>E4</xm:sqref>
        </x14:dataValidation>
        <x14:dataValidation type="list" allowBlank="1" showInputMessage="1" showErrorMessage="1" xr:uid="{7387DC71-DD94-482B-9FA3-E49B6DE786E1}">
          <x14:formula1>
            <xm:f>'Data Validation'!$H$4:$H$5</xm:f>
          </x14:formula1>
          <xm:sqref>E12</xm:sqref>
        </x14:dataValidation>
        <x14:dataValidation type="list" allowBlank="1" showInputMessage="1" showErrorMessage="1" xr:uid="{2DF3F1D3-826B-4C01-AF14-740102E038D6}">
          <x14:formula1>
            <xm:f>IF($E$6='Data Validation'!$N$5,'Data Validation'!$R$4:$R$5,'Data Validation'!$R$6)</xm:f>
          </x14:formula1>
          <xm:sqref>H6</xm:sqref>
        </x14:dataValidation>
        <x14:dataValidation type="list" allowBlank="1" showInputMessage="1" showErrorMessage="1" xr:uid="{DCEA7B90-8DF3-4C2E-A90B-54B8779615BE}">
          <x14:formula1>
            <xm:f>'Data Validation'!$H$4:$H$6</xm:f>
          </x14:formula1>
          <xm:sqref>H12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F8C87-100C-4BED-80C4-51C33CD5009A}">
  <dimension ref="B2:L65"/>
  <sheetViews>
    <sheetView zoomScale="85" zoomScaleNormal="85" zoomScaleSheetLayoutView="70" workbookViewId="0">
      <selection activeCell="M20" sqref="M20"/>
    </sheetView>
  </sheetViews>
  <sheetFormatPr defaultColWidth="9" defaultRowHeight="15" customHeight="1" x14ac:dyDescent="0.25"/>
  <cols>
    <col min="1" max="1" width="7" style="1" customWidth="1"/>
    <col min="2" max="2" width="2.85546875" style="1" customWidth="1"/>
    <col min="3" max="3" width="53.140625" style="41" customWidth="1"/>
    <col min="4" max="4" width="3.5703125" style="41" customWidth="1"/>
    <col min="5" max="5" width="51.85546875" style="41" customWidth="1"/>
    <col min="6" max="6" width="3.5703125" style="41" customWidth="1"/>
    <col min="7" max="7" width="44.7109375" style="41" customWidth="1"/>
    <col min="8" max="8" width="58.7109375" style="41" customWidth="1"/>
    <col min="9" max="9" width="2.85546875" style="1" customWidth="1"/>
    <col min="10" max="10" width="5.140625" style="1" customWidth="1"/>
    <col min="11" max="11" width="9" style="1"/>
    <col min="12" max="12" width="12.5703125" style="1" customWidth="1"/>
    <col min="13" max="16384" width="9" style="1"/>
  </cols>
  <sheetData>
    <row r="2" spans="2:12" ht="15" customHeight="1" x14ac:dyDescent="0.25">
      <c r="C2" s="42" t="s">
        <v>0</v>
      </c>
      <c r="D2" s="43"/>
      <c r="E2" s="11">
        <v>46043</v>
      </c>
      <c r="F2" s="44">
        <v>1</v>
      </c>
      <c r="G2" s="44">
        <v>1</v>
      </c>
      <c r="H2" s="44">
        <v>1</v>
      </c>
    </row>
    <row r="3" spans="2:12" ht="3" customHeight="1" x14ac:dyDescent="0.25">
      <c r="C3" s="45"/>
      <c r="D3" s="43"/>
      <c r="E3" s="44">
        <v>1</v>
      </c>
      <c r="F3" s="44">
        <v>1</v>
      </c>
      <c r="G3" s="44">
        <v>1</v>
      </c>
      <c r="H3" s="44">
        <v>1</v>
      </c>
    </row>
    <row r="4" spans="2:12" ht="15" customHeight="1" x14ac:dyDescent="0.25">
      <c r="C4" s="42" t="s">
        <v>5</v>
      </c>
      <c r="D4" s="43"/>
      <c r="E4" s="12" t="s">
        <v>42</v>
      </c>
      <c r="F4" s="44">
        <v>1</v>
      </c>
      <c r="G4" s="42" t="s">
        <v>6</v>
      </c>
      <c r="H4" s="12" t="s">
        <v>29</v>
      </c>
    </row>
    <row r="5" spans="2:12" ht="3" customHeight="1" x14ac:dyDescent="0.25">
      <c r="E5" s="44">
        <v>1</v>
      </c>
      <c r="F5" s="44">
        <v>1</v>
      </c>
      <c r="G5" s="46">
        <v>1</v>
      </c>
      <c r="H5" s="44">
        <v>1</v>
      </c>
    </row>
    <row r="6" spans="2:12" ht="15" customHeight="1" x14ac:dyDescent="0.25">
      <c r="C6" s="42" t="s">
        <v>31</v>
      </c>
      <c r="D6" s="43"/>
      <c r="E6" s="12" t="s">
        <v>9</v>
      </c>
      <c r="F6" s="44">
        <v>1</v>
      </c>
      <c r="G6" s="44">
        <v>1</v>
      </c>
      <c r="H6" s="44">
        <v>1</v>
      </c>
    </row>
    <row r="7" spans="2:12" ht="3" customHeight="1" x14ac:dyDescent="0.25">
      <c r="C7" s="45"/>
      <c r="D7" s="43"/>
      <c r="E7" s="44">
        <v>1</v>
      </c>
      <c r="F7" s="44">
        <v>1</v>
      </c>
      <c r="G7" s="44">
        <v>1</v>
      </c>
      <c r="H7" s="44">
        <v>1</v>
      </c>
    </row>
    <row r="8" spans="2:12" ht="15" customHeight="1" x14ac:dyDescent="0.25">
      <c r="C8" s="42" t="s">
        <v>7</v>
      </c>
      <c r="D8" s="43"/>
      <c r="E8" s="12" t="s">
        <v>4</v>
      </c>
      <c r="F8" s="44">
        <v>1</v>
      </c>
      <c r="G8" s="44">
        <v>1</v>
      </c>
      <c r="H8" s="44">
        <v>1</v>
      </c>
    </row>
    <row r="9" spans="2:12" ht="3" customHeight="1" x14ac:dyDescent="0.25">
      <c r="C9" s="45"/>
      <c r="D9" s="43"/>
      <c r="E9" s="44">
        <v>1</v>
      </c>
      <c r="F9" s="44">
        <v>1</v>
      </c>
      <c r="G9" s="44">
        <v>1</v>
      </c>
      <c r="H9" s="44">
        <v>1</v>
      </c>
    </row>
    <row r="10" spans="2:12" ht="15" customHeight="1" x14ac:dyDescent="0.25">
      <c r="B10" s="25"/>
      <c r="C10" s="42" t="s">
        <v>22</v>
      </c>
      <c r="D10" s="1"/>
      <c r="E10" s="12" t="s">
        <v>20</v>
      </c>
      <c r="F10" s="44">
        <v>1</v>
      </c>
      <c r="G10" s="49" t="str">
        <f>IF(E6='Data Validation'!$N$4,"Minimum Amenity Payment-in-lieu amount, $",IF(E6='Data Validation'!$N$5,("Minimum required CBB Housing area, "&amp;E8),""))</f>
        <v>Minimum required CBB Housing area, sq.m</v>
      </c>
      <c r="H10" s="13">
        <v>150</v>
      </c>
      <c r="I10" s="25"/>
    </row>
    <row r="11" spans="2:12" ht="3" customHeight="1" x14ac:dyDescent="0.25">
      <c r="C11" s="45"/>
      <c r="D11" s="43"/>
      <c r="E11" s="44">
        <v>1</v>
      </c>
      <c r="F11" s="44">
        <v>1</v>
      </c>
      <c r="G11" s="46">
        <v>1</v>
      </c>
      <c r="H11" s="44">
        <v>1</v>
      </c>
    </row>
    <row r="12" spans="2:12" ht="15" customHeight="1" x14ac:dyDescent="0.25">
      <c r="C12" s="42" t="s">
        <v>30</v>
      </c>
      <c r="D12" s="43"/>
      <c r="E12" s="12" t="s">
        <v>8</v>
      </c>
      <c r="F12" s="44">
        <v>1</v>
      </c>
      <c r="G12" s="49" t="str">
        <f>IF(E12='Data Validation'!$P$4,"Minimum CBB Housing Payment-in-lieu amount, $",IF(E12='Data Validation'!$P$5,("Minimum required CBB Housing area, "&amp;E8),""))</f>
        <v>Minimum CBB Housing Payment-in-lieu amount, $</v>
      </c>
      <c r="H12" s="14">
        <v>1000000</v>
      </c>
      <c r="L12" s="24"/>
    </row>
    <row r="13" spans="2:12" ht="3" customHeight="1" x14ac:dyDescent="0.25">
      <c r="C13" s="45"/>
      <c r="D13" s="43"/>
      <c r="E13" s="44">
        <v>1</v>
      </c>
      <c r="F13" s="44">
        <v>1</v>
      </c>
      <c r="G13" s="44">
        <v>1</v>
      </c>
      <c r="H13" s="44">
        <v>1</v>
      </c>
    </row>
    <row r="14" spans="2:12" ht="15" customHeight="1" x14ac:dyDescent="0.25">
      <c r="C14" s="42" t="s">
        <v>57</v>
      </c>
      <c r="D14" s="43"/>
      <c r="E14" s="12" t="s">
        <v>44</v>
      </c>
      <c r="F14" s="44">
        <v>1</v>
      </c>
      <c r="G14" s="42" t="s">
        <v>66</v>
      </c>
      <c r="H14" s="38">
        <v>1</v>
      </c>
    </row>
    <row r="15" spans="2:12" ht="3" customHeight="1" x14ac:dyDescent="0.25">
      <c r="C15" s="45"/>
      <c r="D15" s="43"/>
      <c r="E15" s="44">
        <v>1</v>
      </c>
      <c r="F15" s="44">
        <v>1</v>
      </c>
      <c r="G15" s="47">
        <v>1</v>
      </c>
      <c r="H15" s="44">
        <v>1</v>
      </c>
    </row>
    <row r="16" spans="2:12" ht="15" customHeight="1" x14ac:dyDescent="0.25">
      <c r="C16" s="42" t="s">
        <v>58</v>
      </c>
      <c r="D16" s="43"/>
      <c r="E16" s="12" t="s">
        <v>76</v>
      </c>
      <c r="F16" s="44">
        <v>1</v>
      </c>
      <c r="G16" s="42" t="s">
        <v>71</v>
      </c>
      <c r="H16" s="115" t="str">
        <f>IF(E16='Data Validation'!H6,"0",1-H14)</f>
        <v>0</v>
      </c>
    </row>
    <row r="17" spans="3:8" ht="7.5" customHeight="1" x14ac:dyDescent="0.25">
      <c r="C17" s="48"/>
      <c r="D17" s="48"/>
      <c r="E17" s="48"/>
      <c r="F17" s="43"/>
      <c r="G17" s="48"/>
      <c r="H17" s="48"/>
    </row>
    <row r="18" spans="3:8" ht="15" customHeight="1" x14ac:dyDescent="0.25">
      <c r="C18" s="138" t="s">
        <v>40</v>
      </c>
      <c r="D18" s="138"/>
      <c r="E18" s="138"/>
      <c r="F18" s="138"/>
      <c r="G18" s="138"/>
      <c r="H18" s="138"/>
    </row>
    <row r="19" spans="3:8" ht="3" customHeight="1" x14ac:dyDescent="0.25">
      <c r="C19" s="49"/>
    </row>
    <row r="20" spans="3:8" ht="15" customHeight="1" x14ac:dyDescent="0.25">
      <c r="C20" s="139" t="str">
        <f>"Bonus Denisity- "&amp;E14</f>
        <v>Bonus Denisity- Market Strata</v>
      </c>
      <c r="D20" s="139"/>
      <c r="E20" s="140" t="str">
        <f>"Bonus Density with with GFA of "&amp;TEXT(H59,"#,##0")&amp;" "&amp;E8</f>
        <v>Bonus Density with with GFA of 1,254 sq.m</v>
      </c>
      <c r="F20" s="140"/>
      <c r="G20" s="140"/>
    </row>
    <row r="21" spans="3:8" ht="15" customHeight="1" x14ac:dyDescent="0.25">
      <c r="C21" s="139" t="str">
        <f>IF(E16='Data Validation'!H6,"","Bonus Denisity- "&amp;E16)</f>
        <v/>
      </c>
      <c r="D21" s="139"/>
      <c r="E21" s="141" t="str">
        <f>IF(E16='Data Validation'!H6,"","Bonus Density with with GFA of "&amp;TEXT(H62,"#,##0")&amp;" "&amp;E8)</f>
        <v/>
      </c>
      <c r="F21" s="141"/>
      <c r="G21" s="141"/>
    </row>
    <row r="22" spans="3:8" ht="15" customHeight="1" x14ac:dyDescent="0.25">
      <c r="C22" s="142" t="s">
        <v>67</v>
      </c>
      <c r="D22" s="142"/>
      <c r="E22" s="144" t="str">
        <f>IF(E16='Data Validation'!H6,"Bonus Density with with GFA of "&amp;TEXT(H59,"#,##0")&amp;" "&amp;E8&amp;" and maximum "&amp;H52&amp;" bonus units","Bonus Density with with GFA of "&amp;TEXT(H64,"#,##0")&amp;" "&amp;E8&amp;" and maximum "&amp;H52&amp;" bonus units")</f>
        <v>Bonus Density with with GFA of 1,254 sq.m and maximum 27 bonus units</v>
      </c>
      <c r="F22" s="144"/>
      <c r="G22" s="144"/>
      <c r="H22" s="53"/>
    </row>
    <row r="23" spans="3:8" ht="3" customHeight="1" x14ac:dyDescent="0.25">
      <c r="C23" s="50"/>
      <c r="D23" s="50"/>
      <c r="E23" s="51"/>
      <c r="F23" s="51"/>
      <c r="G23" s="51"/>
    </row>
    <row r="24" spans="3:8" ht="15" customHeight="1" x14ac:dyDescent="0.25">
      <c r="C24" s="138" t="s">
        <v>39</v>
      </c>
      <c r="D24" s="138"/>
      <c r="E24" s="138"/>
      <c r="F24" s="138"/>
      <c r="G24" s="138"/>
      <c r="H24" s="138"/>
    </row>
    <row r="25" spans="3:8" ht="3" customHeight="1" x14ac:dyDescent="0.25">
      <c r="C25" s="66"/>
      <c r="D25" s="66"/>
      <c r="E25" s="66"/>
      <c r="F25" s="66"/>
      <c r="G25" s="66"/>
      <c r="H25" s="66"/>
    </row>
    <row r="26" spans="3:8" s="57" customFormat="1" ht="15" customHeight="1" x14ac:dyDescent="0.25">
      <c r="C26" s="54" t="s">
        <v>68</v>
      </c>
      <c r="D26" s="54"/>
      <c r="E26" s="54"/>
      <c r="F26" s="55"/>
      <c r="G26" s="55"/>
      <c r="H26" s="77"/>
    </row>
    <row r="27" spans="3:8" ht="3" customHeight="1" x14ac:dyDescent="0.25">
      <c r="C27" s="66"/>
      <c r="D27" s="66"/>
      <c r="E27" s="66"/>
      <c r="H27" s="99"/>
    </row>
    <row r="28" spans="3:8" ht="3" customHeight="1" x14ac:dyDescent="0.25">
      <c r="C28" s="104"/>
      <c r="D28" s="53"/>
      <c r="E28" s="105"/>
      <c r="F28" s="53"/>
      <c r="G28" s="53"/>
      <c r="H28" s="80"/>
    </row>
    <row r="29" spans="3:8" ht="15" customHeight="1" x14ac:dyDescent="0.25">
      <c r="C29" s="62" t="str">
        <f>IF(E6='Data Validation'!N5,"CBB Amenity area, "&amp;E8,"")</f>
        <v>CBB Amenity area, sq.m</v>
      </c>
      <c r="D29" s="63" t="str">
        <f>IF(E6='Data Validation'!N5,"×","")</f>
        <v>×</v>
      </c>
      <c r="E29" s="82" t="str">
        <f>IF(E6='Data Validation'!N5,"Capital Cost Rate-"&amp;IF(E10='Data Validation'!R4,'Data Validation'!R4,'Data Validation'!R5),"")</f>
        <v>Capital Cost Rate-Category 2- Social service centres and child care facilities</v>
      </c>
      <c r="F29" s="65"/>
      <c r="G29" s="66" t="str">
        <f>IF(E6='Data Validation'!N5,"=","")</f>
        <v>=</v>
      </c>
      <c r="H29" s="109" t="str">
        <f>IF(E6='Data Validation'!N5,"Remainder Value","")</f>
        <v>Remainder Value</v>
      </c>
    </row>
    <row r="30" spans="3:8" s="107" customFormat="1" ht="15" customHeight="1" x14ac:dyDescent="0.25">
      <c r="C30" s="33">
        <f>IF(E6='Data Validation'!N5,H10,"")</f>
        <v>150</v>
      </c>
      <c r="D30" s="63" t="str">
        <f>IF(E6='Data Validation'!N5,"×","")</f>
        <v>×</v>
      </c>
      <c r="E30" s="37" cm="1">
        <f t="array" ref="E30">IF(E6='Data Validation'!N5,INDEX(Rates!E57:E60,MATCH(1,(Reverse!E10=Rates!C57:C60)*(Reverse!E8=Rates!D57:D60),0)),"")</f>
        <v>9988.8809999999994</v>
      </c>
      <c r="F30" s="66"/>
      <c r="G30" s="66" t="str">
        <f>IF(E6='Data Validation'!N5,"=","")</f>
        <v>=</v>
      </c>
      <c r="H30" s="32">
        <f>IF(E6='Data Validation'!N5,C30*E30,"")</f>
        <v>1498332.15</v>
      </c>
    </row>
    <row r="31" spans="3:8" ht="3" customHeight="1" x14ac:dyDescent="0.25">
      <c r="C31" s="103"/>
      <c r="D31" s="86"/>
      <c r="E31" s="86"/>
      <c r="F31" s="86"/>
      <c r="G31" s="86"/>
      <c r="H31" s="108"/>
    </row>
    <row r="32" spans="3:8" ht="3" customHeight="1" x14ac:dyDescent="0.25">
      <c r="C32" s="66"/>
      <c r="D32" s="66"/>
      <c r="E32" s="66"/>
      <c r="H32" s="99"/>
    </row>
    <row r="33" spans="3:8" ht="3" customHeight="1" x14ac:dyDescent="0.25">
      <c r="C33" s="100"/>
      <c r="D33" s="79"/>
      <c r="E33" s="79"/>
      <c r="F33" s="53"/>
      <c r="G33" s="53"/>
      <c r="H33" s="101"/>
    </row>
    <row r="34" spans="3:8" s="83" customFormat="1" ht="15" customHeight="1" x14ac:dyDescent="0.25">
      <c r="C34" s="62" t="s">
        <v>38</v>
      </c>
      <c r="D34" s="102" t="s">
        <v>65</v>
      </c>
      <c r="E34" s="82" t="str">
        <f>C41</f>
        <v>Minimum CBB Housing Payment-in-lieu amount, $</v>
      </c>
      <c r="F34" s="65"/>
      <c r="G34" s="66" t="s">
        <v>13</v>
      </c>
      <c r="H34" s="109" t="str">
        <f>C58</f>
        <v>Community Benefit Value, $</v>
      </c>
    </row>
    <row r="35" spans="3:8" s="57" customFormat="1" ht="15" customHeight="1" x14ac:dyDescent="0.25">
      <c r="C35" s="27">
        <f>IF(E6='Data Validation'!N5,H30,H10)</f>
        <v>1498332.15</v>
      </c>
      <c r="D35" s="102" t="s">
        <v>65</v>
      </c>
      <c r="E35" s="37">
        <f>C42</f>
        <v>1000000</v>
      </c>
      <c r="F35" s="66"/>
      <c r="G35" s="66" t="s">
        <v>13</v>
      </c>
      <c r="H35" s="32">
        <f>C35+E35</f>
        <v>2498332.15</v>
      </c>
    </row>
    <row r="36" spans="3:8" ht="3" customHeight="1" x14ac:dyDescent="0.25">
      <c r="C36" s="103"/>
      <c r="D36" s="86"/>
      <c r="E36" s="91"/>
      <c r="F36" s="86"/>
      <c r="G36" s="86"/>
      <c r="H36" s="87"/>
    </row>
    <row r="37" spans="3:8" ht="3" customHeight="1" x14ac:dyDescent="0.25">
      <c r="C37" s="50"/>
      <c r="E37" s="49"/>
      <c r="H37" s="49"/>
    </row>
    <row r="38" spans="3:8" s="57" customFormat="1" ht="15" customHeight="1" x14ac:dyDescent="0.25">
      <c r="C38" s="54" t="s">
        <v>26</v>
      </c>
      <c r="D38" s="54"/>
      <c r="E38" s="54"/>
      <c r="F38" s="55"/>
      <c r="G38" s="55"/>
      <c r="H38" s="77"/>
    </row>
    <row r="39" spans="3:8" ht="3" customHeight="1" x14ac:dyDescent="0.25">
      <c r="C39" s="94"/>
      <c r="D39" s="65"/>
      <c r="F39" s="65"/>
      <c r="G39" s="66"/>
      <c r="H39" s="95"/>
    </row>
    <row r="40" spans="3:8" ht="3" customHeight="1" x14ac:dyDescent="0.25">
      <c r="C40" s="96"/>
      <c r="D40" s="97"/>
      <c r="E40" s="53"/>
      <c r="F40" s="97"/>
      <c r="G40" s="79"/>
      <c r="H40" s="98"/>
    </row>
    <row r="41" spans="3:8" ht="15" customHeight="1" x14ac:dyDescent="0.25">
      <c r="C41" s="62" t="s">
        <v>37</v>
      </c>
      <c r="D41" s="1"/>
      <c r="E41" s="64" t="s">
        <v>28</v>
      </c>
      <c r="F41" s="65"/>
      <c r="G41" s="66" t="s">
        <v>13</v>
      </c>
      <c r="H41" s="67" t="str">
        <f>C46</f>
        <v>Minimum required CBB Housing area, sq.m</v>
      </c>
    </row>
    <row r="42" spans="3:8" ht="15" customHeight="1" x14ac:dyDescent="0.25">
      <c r="C42" s="27">
        <f>IF(E12='Data Validation'!$P$4,H12,H42*E42)</f>
        <v>1000000</v>
      </c>
      <c r="D42" s="1"/>
      <c r="E42" s="28">
        <f>INDEX(Rates!E63:E64,MATCH(Reverse!E8,Rates!D63:D64,0))</f>
        <v>6727.44</v>
      </c>
      <c r="F42" s="66"/>
      <c r="G42" s="66" t="s">
        <v>13</v>
      </c>
      <c r="H42" s="32">
        <f>IF(E12='Data Validation'!$P$4,C42/E42,H12)</f>
        <v>148.64495261198911</v>
      </c>
    </row>
    <row r="43" spans="3:8" ht="3" customHeight="1" x14ac:dyDescent="0.25">
      <c r="C43" s="89"/>
      <c r="D43" s="90"/>
      <c r="E43" s="35"/>
      <c r="F43" s="85"/>
      <c r="G43" s="85"/>
      <c r="H43" s="36"/>
    </row>
    <row r="44" spans="3:8" ht="3" customHeight="1" x14ac:dyDescent="0.25">
      <c r="D44" s="66"/>
      <c r="F44" s="66"/>
      <c r="G44" s="66"/>
      <c r="H44" s="49"/>
    </row>
    <row r="45" spans="3:8" ht="3" customHeight="1" x14ac:dyDescent="0.25">
      <c r="C45" s="78"/>
      <c r="D45" s="79"/>
      <c r="E45" s="53"/>
      <c r="F45" s="79"/>
      <c r="G45" s="79"/>
      <c r="H45" s="80"/>
    </row>
    <row r="46" spans="3:8" ht="15" customHeight="1" x14ac:dyDescent="0.25">
      <c r="C46" s="62" t="str">
        <f>"Minimum required CBB Housing area, "&amp;E8</f>
        <v>Minimum required CBB Housing area, sq.m</v>
      </c>
      <c r="D46" s="106" t="s">
        <v>24</v>
      </c>
      <c r="E46" s="88" t="str">
        <f>IF(E8='Data Validation'!L4,"55.74 sq.m","598sq.ft")</f>
        <v>55.74 sq.m</v>
      </c>
      <c r="F46" s="65"/>
      <c r="G46" s="66" t="s">
        <v>13</v>
      </c>
      <c r="H46" s="109" t="s">
        <v>17</v>
      </c>
    </row>
    <row r="47" spans="3:8" ht="15" customHeight="1" x14ac:dyDescent="0.25">
      <c r="C47" s="33">
        <f>H42</f>
        <v>148.64495261198911</v>
      </c>
      <c r="D47" s="106" t="s">
        <v>24</v>
      </c>
      <c r="E47" s="28">
        <f>IF(E8='Data Validation'!L4,55.74,598)</f>
        <v>55.74</v>
      </c>
      <c r="F47" s="65"/>
      <c r="G47" s="66" t="s">
        <v>13</v>
      </c>
      <c r="H47" s="31">
        <f>C47/E47</f>
        <v>2.6667555186937406</v>
      </c>
    </row>
    <row r="48" spans="3:8" ht="3" customHeight="1" x14ac:dyDescent="0.25">
      <c r="C48" s="89"/>
      <c r="D48" s="90"/>
      <c r="E48" s="91"/>
      <c r="F48" s="92"/>
      <c r="G48" s="85"/>
      <c r="H48" s="93"/>
    </row>
    <row r="49" spans="3:12" ht="3" customHeight="1" x14ac:dyDescent="0.25">
      <c r="D49" s="66"/>
      <c r="F49" s="66"/>
      <c r="G49" s="66"/>
      <c r="H49" s="49"/>
    </row>
    <row r="50" spans="3:12" ht="3" customHeight="1" x14ac:dyDescent="0.25">
      <c r="C50" s="78"/>
      <c r="D50" s="53"/>
      <c r="E50" s="53"/>
      <c r="F50" s="79"/>
      <c r="G50" s="79"/>
      <c r="H50" s="80"/>
    </row>
    <row r="51" spans="3:12" s="83" customFormat="1" ht="15" customHeight="1" x14ac:dyDescent="0.25">
      <c r="C51" s="62" t="s">
        <v>15</v>
      </c>
      <c r="D51" s="106" t="s">
        <v>24</v>
      </c>
      <c r="E51" s="82">
        <v>0.1</v>
      </c>
      <c r="F51" s="65"/>
      <c r="G51" s="66" t="s">
        <v>13</v>
      </c>
      <c r="H51" s="109" t="s">
        <v>16</v>
      </c>
    </row>
    <row r="52" spans="3:12" ht="15" customHeight="1" x14ac:dyDescent="0.25">
      <c r="C52" s="29">
        <f>H47</f>
        <v>2.6667555186937406</v>
      </c>
      <c r="D52" s="106" t="s">
        <v>24</v>
      </c>
      <c r="E52" s="30">
        <v>0.1</v>
      </c>
      <c r="F52" s="66"/>
      <c r="G52" s="66" t="s">
        <v>13</v>
      </c>
      <c r="H52" s="32">
        <f>ROUND(C52/E52,0)</f>
        <v>27</v>
      </c>
    </row>
    <row r="53" spans="3:12" ht="3" customHeight="1" x14ac:dyDescent="0.25">
      <c r="C53" s="84"/>
      <c r="D53" s="85"/>
      <c r="E53" s="86"/>
      <c r="F53" s="85"/>
      <c r="G53" s="85"/>
      <c r="H53" s="87"/>
    </row>
    <row r="54" spans="3:12" ht="3" customHeight="1" x14ac:dyDescent="0.25">
      <c r="D54" s="66"/>
      <c r="F54" s="66"/>
      <c r="G54" s="66"/>
      <c r="H54" s="49"/>
    </row>
    <row r="55" spans="3:12" s="57" customFormat="1" ht="15" customHeight="1" x14ac:dyDescent="0.25">
      <c r="C55" s="54" t="s">
        <v>33</v>
      </c>
      <c r="D55" s="54"/>
      <c r="E55" s="54"/>
      <c r="F55" s="55"/>
      <c r="G55" s="55"/>
      <c r="H55" s="56"/>
    </row>
    <row r="56" spans="3:12" ht="3" customHeight="1" x14ac:dyDescent="0.25"/>
    <row r="57" spans="3:12" s="61" customFormat="1" ht="15" customHeight="1" x14ac:dyDescent="0.15">
      <c r="C57" s="58"/>
      <c r="D57" s="59"/>
      <c r="E57" s="59"/>
      <c r="F57" s="59"/>
      <c r="G57" s="59"/>
      <c r="H57" s="60"/>
    </row>
    <row r="58" spans="3:12" ht="15" customHeight="1" x14ac:dyDescent="0.25">
      <c r="C58" s="62" t="s">
        <v>36</v>
      </c>
      <c r="D58" s="106" t="s">
        <v>24</v>
      </c>
      <c r="E58" s="64" t="s">
        <v>69</v>
      </c>
      <c r="F58" s="65"/>
      <c r="G58" s="66" t="s">
        <v>13</v>
      </c>
      <c r="H58" s="67" t="str">
        <f>" Floor Area of Community Benefit Bonus, Bonus Units Type 1, "&amp;E8</f>
        <v xml:space="preserve"> Floor Area of Community Benefit Bonus, Bonus Units Type 1, sq.m</v>
      </c>
    </row>
    <row r="59" spans="3:12" ht="15" customHeight="1" x14ac:dyDescent="0.25">
      <c r="C59" s="110">
        <f>H35*H14</f>
        <v>2498332.15</v>
      </c>
      <c r="D59" s="106" t="s">
        <v>24</v>
      </c>
      <c r="E59" s="40" cm="1">
        <f t="array" ref="E59">INDEX(Rates!G5:G52,MATCH(1,(Reverse!E4=Rates!C5:C52)*(E14=Rates!D5:D52)*(Reverse!E8=Rates!E5:E52)*(Reverse!H4=Rates!F5:F52),0))</f>
        <v>1992</v>
      </c>
      <c r="F59" s="65"/>
      <c r="G59" s="66" t="s">
        <v>13</v>
      </c>
      <c r="H59" s="111">
        <f>C59/E59</f>
        <v>1254.1828062248997</v>
      </c>
    </row>
    <row r="60" spans="3:12" ht="5.25" customHeight="1" x14ac:dyDescent="0.25">
      <c r="C60" s="110"/>
      <c r="D60" s="63"/>
      <c r="E60" s="112"/>
      <c r="F60" s="65"/>
      <c r="G60" s="66"/>
      <c r="H60" s="113"/>
    </row>
    <row r="61" spans="3:12" ht="15" customHeight="1" x14ac:dyDescent="0.25">
      <c r="C61" s="62" t="s">
        <v>36</v>
      </c>
      <c r="D61" s="106" t="s">
        <v>24</v>
      </c>
      <c r="E61" s="64" t="s">
        <v>70</v>
      </c>
      <c r="F61" s="65"/>
      <c r="G61" s="66" t="s">
        <v>13</v>
      </c>
      <c r="H61" s="67" t="str">
        <f>" Floor Area of Community Benefit Bonus, Bonus Units Type 2, "&amp;E8</f>
        <v xml:space="preserve"> Floor Area of Community Benefit Bonus, Bonus Units Type 2, sq.m</v>
      </c>
    </row>
    <row r="62" spans="3:12" ht="15" customHeight="1" x14ac:dyDescent="0.25">
      <c r="C62" s="110">
        <f>H35*H16</f>
        <v>0</v>
      </c>
      <c r="D62" s="106" t="s">
        <v>24</v>
      </c>
      <c r="E62" s="114" cm="1">
        <f t="array" ref="E62">IF(E16='Data Validation'!H6,0,INDEX(Rates!G5:G52,MATCH(1,(Reverse!E4=Rates!C5:C52)*(E16=Rates!D5:D52)*(Reverse!E8=Rates!E5:E52)*(Reverse!H4=Rates!F5:F52),0)))</f>
        <v>0</v>
      </c>
      <c r="F62" s="65"/>
      <c r="G62" s="66" t="s">
        <v>13</v>
      </c>
      <c r="H62" s="111" t="e">
        <f>C62/E62</f>
        <v>#DIV/0!</v>
      </c>
    </row>
    <row r="63" spans="3:12" ht="3" customHeight="1" x14ac:dyDescent="0.25">
      <c r="C63" s="62"/>
      <c r="D63" s="63"/>
      <c r="E63" s="69"/>
      <c r="F63" s="65"/>
      <c r="G63" s="66"/>
      <c r="H63" s="70"/>
      <c r="L63" s="26"/>
    </row>
    <row r="64" spans="3:12" ht="15" customHeight="1" x14ac:dyDescent="0.25">
      <c r="C64" s="27"/>
      <c r="D64" s="63"/>
      <c r="E64" s="28"/>
      <c r="F64" s="66"/>
      <c r="G64" s="71" t="str">
        <f>"Total Bonus GFA, "&amp;E8&amp;" :"</f>
        <v>Total Bonus GFA, sq.m :</v>
      </c>
      <c r="H64" s="39" t="e">
        <f>H59+H62</f>
        <v>#DIV/0!</v>
      </c>
    </row>
    <row r="65" spans="3:8" s="61" customFormat="1" ht="3" customHeight="1" x14ac:dyDescent="0.15">
      <c r="C65" s="73"/>
      <c r="D65" s="74"/>
      <c r="E65" s="74"/>
      <c r="F65" s="75"/>
      <c r="G65" s="75"/>
      <c r="H65" s="76"/>
    </row>
  </sheetData>
  <mergeCells count="8">
    <mergeCell ref="C24:H24"/>
    <mergeCell ref="C18:H18"/>
    <mergeCell ref="C20:D20"/>
    <mergeCell ref="E20:G20"/>
    <mergeCell ref="C21:D21"/>
    <mergeCell ref="E21:G21"/>
    <mergeCell ref="C22:D22"/>
    <mergeCell ref="E22:G22"/>
  </mergeCells>
  <conditionalFormatting sqref="C18:H65">
    <cfRule type="expression" dxfId="2" priority="3">
      <formula>COUNTBLANK($E$2:$H$16)&gt;0</formula>
    </cfRule>
  </conditionalFormatting>
  <pageMargins left="0.7" right="0.7" top="0.75" bottom="0.75" header="0.3" footer="0.3"/>
  <pageSetup scale="46" orientation="portrait" r:id="rId1"/>
  <extLst>
    <ext xmlns:x14="http://schemas.microsoft.com/office/spreadsheetml/2009/9/main" uri="{78C0D931-6437-407d-A8EE-F0AAD7539E65}">
      <x14:conditionalFormattings>
        <x14:conditionalFormatting xmlns:xm="http://schemas.microsoft.com/office/excel/2006/main">
          <x14:cfRule type="expression" priority="6" id="{4E205E51-2620-47BD-8349-C9A35864859B}">
            <xm:f>$E$16='Data Validation'!$H$6</xm:f>
            <x14:dxf>
              <font>
                <b val="0"/>
                <i val="0"/>
                <color theme="0"/>
              </font>
              <fill>
                <patternFill>
                  <bgColor theme="0"/>
                </patternFill>
              </fill>
              <border>
                <top/>
                <bottom style="thin">
                  <color auto="1"/>
                </bottom>
                <vertical/>
                <horizontal/>
              </border>
            </x14:dxf>
          </x14:cfRule>
          <xm:sqref>C60:H60</xm:sqref>
        </x14:conditionalFormatting>
        <x14:conditionalFormatting xmlns:xm="http://schemas.microsoft.com/office/excel/2006/main">
          <x14:cfRule type="expression" priority="5" id="{88B393FE-6381-48A6-B389-F7545C5D4675}">
            <xm:f>$E$16='Data Validation'!$H$6</xm:f>
            <x14:dxf>
              <font>
                <b val="0"/>
                <i val="0"/>
                <color theme="0"/>
              </font>
              <fill>
                <patternFill>
                  <bgColor theme="0"/>
                </patternFill>
              </fill>
              <border>
                <left/>
                <right/>
                <top/>
                <bottom/>
                <vertical/>
                <horizontal/>
              </border>
            </x14:dxf>
          </x14:cfRule>
          <xm:sqref>C61:H65</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F3D85017-4220-4DE5-ACD4-3D77A4929054}">
          <x14:formula1>
            <xm:f>'Data Validation'!$D$6:$D$8</xm:f>
          </x14:formula1>
          <xm:sqref>E4</xm:sqref>
        </x14:dataValidation>
        <x14:dataValidation type="list" allowBlank="1" showInputMessage="1" showErrorMessage="1" xr:uid="{3D415986-FFDC-4AC1-B329-F5844E9C8D6B}">
          <x14:formula1>
            <xm:f>'Data Validation'!$N$4:$N$5</xm:f>
          </x14:formula1>
          <xm:sqref>E6</xm:sqref>
        </x14:dataValidation>
        <x14:dataValidation type="list" allowBlank="1" showInputMessage="1" showErrorMessage="1" xr:uid="{1E4C7A76-23D6-4F7C-AB54-C94392D91865}">
          <x14:formula1>
            <xm:f>IF($E$6='Data Validation'!$N$5,'Data Validation'!$R$4:$R$5,'Data Validation'!$R$6)</xm:f>
          </x14:formula1>
          <xm:sqref>E10</xm:sqref>
        </x14:dataValidation>
        <x14:dataValidation type="list" allowBlank="1" showInputMessage="1" showErrorMessage="1" xr:uid="{76B670BD-8F3F-42D3-8F59-C13A9B5C58EF}">
          <x14:formula1>
            <xm:f>'Data Validation'!$P$4:$P$5</xm:f>
          </x14:formula1>
          <xm:sqref>E12</xm:sqref>
        </x14:dataValidation>
        <x14:dataValidation type="list" allowBlank="1" showInputMessage="1" showErrorMessage="1" xr:uid="{FCFDEB40-7E8C-4205-A74A-D38F7FC755E3}">
          <x14:formula1>
            <xm:f>'Data Validation'!$L$4:$L$5</xm:f>
          </x14:formula1>
          <xm:sqref>E8</xm:sqref>
        </x14:dataValidation>
        <x14:dataValidation type="list" allowBlank="1" showInputMessage="1" showErrorMessage="1" xr:uid="{4ED40D0A-F273-4DE3-8290-5F69C28CD470}">
          <x14:formula1>
            <xm:f>'Data Validation'!$H$4:$H$5</xm:f>
          </x14:formula1>
          <xm:sqref>E14</xm:sqref>
        </x14:dataValidation>
        <x14:dataValidation type="list" allowBlank="1" showInputMessage="1" showErrorMessage="1" xr:uid="{CEEFBD8B-095A-4385-86EF-D3AAE48AECCF}">
          <x14:formula1>
            <xm:f>'Data Validation'!$H$4:$H$6</xm:f>
          </x14:formula1>
          <xm:sqref>E16</xm:sqref>
        </x14:dataValidation>
        <x14:dataValidation type="list" allowBlank="1" showInputMessage="1" showErrorMessage="1" xr:uid="{9B866814-B52D-4220-B1DC-6AF14B6D0C55}">
          <x14:formula1>
            <xm:f>'Data Validation'!$J$4:$J$7</xm:f>
          </x14:formula1>
          <xm:sqref>H4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94116-6A82-40B9-A122-B736E0D7C986}">
  <dimension ref="D2:R51"/>
  <sheetViews>
    <sheetView workbookViewId="0">
      <selection activeCell="L5" sqref="L5"/>
    </sheetView>
  </sheetViews>
  <sheetFormatPr defaultColWidth="9" defaultRowHeight="15" x14ac:dyDescent="0.25"/>
  <cols>
    <col min="4" max="4" width="24" style="4" customWidth="1"/>
    <col min="5" max="5" width="4" style="4" customWidth="1"/>
    <col min="6" max="6" width="11" style="4" customWidth="1"/>
    <col min="7" max="7" width="4" style="4" customWidth="1"/>
    <col min="8" max="8" width="13.28515625" style="4" customWidth="1"/>
    <col min="9" max="9" width="4" style="4" customWidth="1"/>
    <col min="10" max="10" width="15.7109375" style="4" customWidth="1"/>
    <col min="11" max="11" width="4.7109375" style="4" customWidth="1"/>
    <col min="12" max="12" width="22.140625" style="4" customWidth="1"/>
    <col min="13" max="13" width="5.7109375" style="4" customWidth="1"/>
    <col min="14" max="14" width="19.5703125" style="4" customWidth="1"/>
    <col min="16" max="16" width="23.7109375" customWidth="1"/>
    <col min="18" max="18" width="23.28515625" customWidth="1"/>
  </cols>
  <sheetData>
    <row r="2" spans="4:18" x14ac:dyDescent="0.25">
      <c r="D2" s="4" t="s">
        <v>5</v>
      </c>
      <c r="F2" s="4" t="s">
        <v>48</v>
      </c>
      <c r="H2" s="4" t="s">
        <v>47</v>
      </c>
      <c r="J2" s="4" t="s">
        <v>6</v>
      </c>
      <c r="L2" s="4" t="s">
        <v>7</v>
      </c>
      <c r="N2" s="4" t="s">
        <v>10</v>
      </c>
      <c r="P2" s="4" t="s">
        <v>11</v>
      </c>
      <c r="R2" s="1" t="s">
        <v>22</v>
      </c>
    </row>
    <row r="3" spans="4:18" x14ac:dyDescent="0.25">
      <c r="D3"/>
      <c r="H3"/>
    </row>
    <row r="4" spans="4:18" x14ac:dyDescent="0.25">
      <c r="F4" s="4" t="s">
        <v>49</v>
      </c>
      <c r="H4" s="4" t="s">
        <v>45</v>
      </c>
      <c r="J4" s="4" t="s">
        <v>1</v>
      </c>
      <c r="L4" s="3" t="s">
        <v>4</v>
      </c>
      <c r="N4" s="4" t="s">
        <v>8</v>
      </c>
      <c r="P4" s="4" t="s">
        <v>8</v>
      </c>
      <c r="R4" t="s">
        <v>19</v>
      </c>
    </row>
    <row r="5" spans="4:18" x14ac:dyDescent="0.25">
      <c r="F5" s="4" t="s">
        <v>50</v>
      </c>
      <c r="H5" s="4" t="s">
        <v>44</v>
      </c>
      <c r="J5" s="4" t="s">
        <v>2</v>
      </c>
      <c r="L5" s="3" t="s">
        <v>35</v>
      </c>
      <c r="N5" s="4" t="s">
        <v>9</v>
      </c>
      <c r="P5" s="4" t="s">
        <v>12</v>
      </c>
      <c r="R5" t="s">
        <v>20</v>
      </c>
    </row>
    <row r="6" spans="4:18" x14ac:dyDescent="0.25">
      <c r="D6" s="4" t="s">
        <v>41</v>
      </c>
      <c r="H6" s="4" t="s">
        <v>76</v>
      </c>
      <c r="J6" s="4" t="s">
        <v>29</v>
      </c>
      <c r="R6" t="s">
        <v>51</v>
      </c>
    </row>
    <row r="7" spans="4:18" x14ac:dyDescent="0.25">
      <c r="D7" s="4" t="s">
        <v>42</v>
      </c>
      <c r="J7" s="4" t="s">
        <v>32</v>
      </c>
    </row>
    <row r="8" spans="4:18" x14ac:dyDescent="0.25">
      <c r="D8" s="4" t="s">
        <v>43</v>
      </c>
    </row>
    <row r="14" spans="4:18" x14ac:dyDescent="0.25">
      <c r="D14"/>
    </row>
    <row r="15" spans="4:18" x14ac:dyDescent="0.25">
      <c r="D15"/>
    </row>
    <row r="16" spans="4:18" x14ac:dyDescent="0.25">
      <c r="D16"/>
    </row>
    <row r="17" spans="4:4" x14ac:dyDescent="0.25">
      <c r="D17"/>
    </row>
    <row r="18" spans="4:4" x14ac:dyDescent="0.25">
      <c r="D18"/>
    </row>
    <row r="19" spans="4:4" x14ac:dyDescent="0.25">
      <c r="D19"/>
    </row>
    <row r="20" spans="4:4" x14ac:dyDescent="0.25">
      <c r="D20"/>
    </row>
    <row r="21" spans="4:4" x14ac:dyDescent="0.25">
      <c r="D21"/>
    </row>
    <row r="22" spans="4:4" x14ac:dyDescent="0.25">
      <c r="D22"/>
    </row>
    <row r="23" spans="4:4" x14ac:dyDescent="0.25">
      <c r="D23"/>
    </row>
    <row r="24" spans="4:4" x14ac:dyDescent="0.25">
      <c r="D24"/>
    </row>
    <row r="25" spans="4:4" x14ac:dyDescent="0.25">
      <c r="D25"/>
    </row>
    <row r="26" spans="4:4" x14ac:dyDescent="0.25">
      <c r="D26"/>
    </row>
    <row r="27" spans="4:4" x14ac:dyDescent="0.25">
      <c r="D27"/>
    </row>
    <row r="28" spans="4:4" x14ac:dyDescent="0.25">
      <c r="D28"/>
    </row>
    <row r="29" spans="4:4" x14ac:dyDescent="0.25">
      <c r="D29"/>
    </row>
    <row r="30" spans="4:4" x14ac:dyDescent="0.25">
      <c r="D30"/>
    </row>
    <row r="31" spans="4:4" x14ac:dyDescent="0.25">
      <c r="D31"/>
    </row>
    <row r="32" spans="4:4" x14ac:dyDescent="0.25">
      <c r="D32"/>
    </row>
    <row r="33" spans="4:4" x14ac:dyDescent="0.25">
      <c r="D33"/>
    </row>
    <row r="34" spans="4:4" x14ac:dyDescent="0.25">
      <c r="D34"/>
    </row>
    <row r="35" spans="4:4" x14ac:dyDescent="0.25">
      <c r="D35"/>
    </row>
    <row r="36" spans="4:4" x14ac:dyDescent="0.25">
      <c r="D36"/>
    </row>
    <row r="37" spans="4:4" x14ac:dyDescent="0.25">
      <c r="D37"/>
    </row>
    <row r="38" spans="4:4" x14ac:dyDescent="0.25">
      <c r="D38"/>
    </row>
    <row r="39" spans="4:4" x14ac:dyDescent="0.25">
      <c r="D39"/>
    </row>
    <row r="40" spans="4:4" x14ac:dyDescent="0.25">
      <c r="D40"/>
    </row>
    <row r="41" spans="4:4" x14ac:dyDescent="0.25">
      <c r="D41"/>
    </row>
    <row r="42" spans="4:4" x14ac:dyDescent="0.25">
      <c r="D42"/>
    </row>
    <row r="43" spans="4:4" x14ac:dyDescent="0.25">
      <c r="D43"/>
    </row>
    <row r="44" spans="4:4" x14ac:dyDescent="0.25">
      <c r="D44"/>
    </row>
    <row r="45" spans="4:4" x14ac:dyDescent="0.25">
      <c r="D45"/>
    </row>
    <row r="46" spans="4:4" x14ac:dyDescent="0.25">
      <c r="D46"/>
    </row>
    <row r="47" spans="4:4" x14ac:dyDescent="0.25">
      <c r="D47"/>
    </row>
    <row r="48" spans="4:4" x14ac:dyDescent="0.25">
      <c r="D48"/>
    </row>
    <row r="49" spans="4:4" x14ac:dyDescent="0.25">
      <c r="D49"/>
    </row>
    <row r="50" spans="4:4" x14ac:dyDescent="0.25">
      <c r="D50"/>
    </row>
    <row r="51" spans="4:4" x14ac:dyDescent="0.25">
      <c r="D51"/>
    </row>
  </sheetData>
  <sheetProtection algorithmName="SHA-512" hashValue="2bAKgwW9TzJv+sHSP9fLMXFk73Y2K1LPLRIUAnYktF/GStn94te1T3MuavzG6nBQCN4thb6bCPZs+IUzKTZttg==" saltValue="D6uq5aWyBppKdNCnzVJ7oA==" spinCount="100000" sheet="1" objects="1" scenarios="1"/>
  <phoneticPr fontId="10"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D7424-3815-4897-8842-13A1978BB758}">
  <dimension ref="A2:M51"/>
  <sheetViews>
    <sheetView topLeftCell="A10" workbookViewId="0">
      <selection activeCell="N37" sqref="N37"/>
    </sheetView>
  </sheetViews>
  <sheetFormatPr defaultRowHeight="15" x14ac:dyDescent="0.25"/>
  <cols>
    <col min="1" max="1" width="13.42578125" bestFit="1" customWidth="1"/>
    <col min="2" max="2" width="7.85546875" customWidth="1"/>
    <col min="3" max="3" width="17.28515625" bestFit="1" customWidth="1"/>
    <col min="4" max="4" width="20.7109375" customWidth="1"/>
    <col min="5" max="5" width="6.5703125" customWidth="1"/>
    <col min="6" max="6" width="17.28515625" style="17" customWidth="1"/>
    <col min="7" max="7" width="24.7109375" style="17" customWidth="1"/>
    <col min="8" max="8" width="12.28515625" style="17" customWidth="1"/>
    <col min="9" max="9" width="14.42578125" customWidth="1"/>
    <col min="10" max="10" width="14" customWidth="1"/>
    <col min="11" max="11" width="16.42578125" customWidth="1"/>
    <col min="12" max="12" width="11.140625" customWidth="1"/>
    <col min="13" max="13" width="12.28515625" customWidth="1"/>
    <col min="14" max="14" width="5.85546875" customWidth="1"/>
  </cols>
  <sheetData>
    <row r="2" spans="1:12" x14ac:dyDescent="0.25">
      <c r="F2" s="22" t="s">
        <v>54</v>
      </c>
    </row>
    <row r="3" spans="1:12" x14ac:dyDescent="0.25">
      <c r="A3" s="15" t="s">
        <v>14</v>
      </c>
      <c r="B3" s="15" t="s">
        <v>3</v>
      </c>
      <c r="C3" s="15" t="s">
        <v>46</v>
      </c>
      <c r="D3" s="15" t="s">
        <v>6</v>
      </c>
      <c r="E3" s="15" t="s">
        <v>5</v>
      </c>
      <c r="F3" s="18" t="s">
        <v>52</v>
      </c>
      <c r="G3" s="18" t="s">
        <v>55</v>
      </c>
      <c r="H3" s="18" t="s">
        <v>56</v>
      </c>
      <c r="I3" s="18" t="s">
        <v>53</v>
      </c>
      <c r="J3" s="15"/>
      <c r="K3" s="17"/>
      <c r="L3" s="23"/>
    </row>
    <row r="4" spans="1:12" x14ac:dyDescent="0.25">
      <c r="A4" s="19">
        <v>105</v>
      </c>
      <c r="B4" s="20" t="s">
        <v>35</v>
      </c>
      <c r="C4" s="20" t="s">
        <v>45</v>
      </c>
      <c r="D4" s="20" t="s">
        <v>2</v>
      </c>
      <c r="E4" s="20" t="s">
        <v>41</v>
      </c>
      <c r="F4" s="21">
        <f>(10%*598*Rates!$E$64)/A4</f>
        <v>355.95238095238096</v>
      </c>
      <c r="G4" s="21">
        <v>322.91699999999997</v>
      </c>
      <c r="H4" s="21">
        <f>F4-G4</f>
        <v>33.03538095238099</v>
      </c>
      <c r="I4" s="20" t="str">
        <f t="shared" ref="I4:I12" si="0">IF(F4&gt;322.917,"Problem","Okay")</f>
        <v>Problem</v>
      </c>
      <c r="K4" s="23"/>
    </row>
    <row r="5" spans="1:12" x14ac:dyDescent="0.25">
      <c r="A5" s="19">
        <v>105</v>
      </c>
      <c r="B5" s="20" t="s">
        <v>35</v>
      </c>
      <c r="C5" s="20" t="s">
        <v>45</v>
      </c>
      <c r="D5" s="20" t="s">
        <v>2</v>
      </c>
      <c r="E5" s="20" t="s">
        <v>42</v>
      </c>
      <c r="F5" s="21">
        <f>(10%*598*Rates!$E$64)/A5</f>
        <v>355.95238095238096</v>
      </c>
      <c r="G5" s="21">
        <v>322.91699999999997</v>
      </c>
      <c r="H5" s="21">
        <f t="shared" ref="H5:H51" si="1">F5-G5</f>
        <v>33.03538095238099</v>
      </c>
      <c r="I5" s="20" t="str">
        <f t="shared" si="0"/>
        <v>Problem</v>
      </c>
      <c r="K5" s="23"/>
    </row>
    <row r="6" spans="1:12" x14ac:dyDescent="0.25">
      <c r="A6" s="19">
        <v>105</v>
      </c>
      <c r="B6" s="20" t="s">
        <v>35</v>
      </c>
      <c r="C6" s="20" t="s">
        <v>45</v>
      </c>
      <c r="D6" s="20" t="s">
        <v>2</v>
      </c>
      <c r="E6" s="20" t="s">
        <v>43</v>
      </c>
      <c r="F6" s="21">
        <f>(10%*598*Rates!$E$64)/A6</f>
        <v>355.95238095238096</v>
      </c>
      <c r="G6" s="21">
        <v>322.91699999999997</v>
      </c>
      <c r="H6" s="21">
        <f t="shared" si="1"/>
        <v>33.03538095238099</v>
      </c>
      <c r="I6" s="20" t="str">
        <f t="shared" si="0"/>
        <v>Problem</v>
      </c>
      <c r="K6" s="23"/>
    </row>
    <row r="7" spans="1:12" x14ac:dyDescent="0.25">
      <c r="A7" s="19">
        <v>105</v>
      </c>
      <c r="B7" s="20" t="s">
        <v>35</v>
      </c>
      <c r="C7" s="20" t="s">
        <v>45</v>
      </c>
      <c r="D7" s="20" t="s">
        <v>32</v>
      </c>
      <c r="E7" s="20" t="s">
        <v>41</v>
      </c>
      <c r="F7" s="21">
        <f>(10%*598*Rates!$E$64)/A7</f>
        <v>355.95238095238096</v>
      </c>
      <c r="G7" s="21">
        <v>322.91699999999997</v>
      </c>
      <c r="H7" s="21">
        <f t="shared" si="1"/>
        <v>33.03538095238099</v>
      </c>
      <c r="I7" s="20" t="str">
        <f t="shared" si="0"/>
        <v>Problem</v>
      </c>
      <c r="K7" s="23"/>
    </row>
    <row r="8" spans="1:12" x14ac:dyDescent="0.25">
      <c r="A8" s="19">
        <v>105</v>
      </c>
      <c r="B8" s="20" t="s">
        <v>35</v>
      </c>
      <c r="C8" s="20" t="s">
        <v>45</v>
      </c>
      <c r="D8" s="20" t="s">
        <v>32</v>
      </c>
      <c r="E8" s="20" t="s">
        <v>42</v>
      </c>
      <c r="F8" s="21">
        <f>(10%*598*Rates!$E$64)/A8</f>
        <v>355.95238095238096</v>
      </c>
      <c r="G8" s="21">
        <v>322.91699999999997</v>
      </c>
      <c r="H8" s="21">
        <f t="shared" si="1"/>
        <v>33.03538095238099</v>
      </c>
      <c r="I8" s="20" t="str">
        <f t="shared" si="0"/>
        <v>Problem</v>
      </c>
    </row>
    <row r="9" spans="1:12" x14ac:dyDescent="0.25">
      <c r="A9" s="19">
        <v>105</v>
      </c>
      <c r="B9" s="20" t="s">
        <v>35</v>
      </c>
      <c r="C9" s="20" t="s">
        <v>45</v>
      </c>
      <c r="D9" s="20" t="s">
        <v>32</v>
      </c>
      <c r="E9" s="20" t="s">
        <v>43</v>
      </c>
      <c r="F9" s="21">
        <f>(10%*598*Rates!$E$64)/A9</f>
        <v>355.95238095238096</v>
      </c>
      <c r="G9" s="21">
        <v>322.91699999999997</v>
      </c>
      <c r="H9" s="21">
        <f t="shared" si="1"/>
        <v>33.03538095238099</v>
      </c>
      <c r="I9" s="20" t="str">
        <f t="shared" si="0"/>
        <v>Problem</v>
      </c>
    </row>
    <row r="10" spans="1:12" x14ac:dyDescent="0.25">
      <c r="A10" s="19">
        <v>113</v>
      </c>
      <c r="B10" s="20" t="s">
        <v>35</v>
      </c>
      <c r="C10" s="20" t="s">
        <v>45</v>
      </c>
      <c r="D10" s="20" t="s">
        <v>1</v>
      </c>
      <c r="E10" s="20" t="s">
        <v>41</v>
      </c>
      <c r="F10" s="21">
        <f>(10%*598*Rates!$E$64)/A10</f>
        <v>330.75221238938053</v>
      </c>
      <c r="G10" s="21">
        <v>322.91699999999997</v>
      </c>
      <c r="H10" s="21">
        <f t="shared" si="1"/>
        <v>7.8352123893805583</v>
      </c>
      <c r="I10" s="20" t="str">
        <f t="shared" si="0"/>
        <v>Problem</v>
      </c>
    </row>
    <row r="11" spans="1:12" x14ac:dyDescent="0.25">
      <c r="A11" s="19">
        <v>113</v>
      </c>
      <c r="B11" s="20" t="s">
        <v>35</v>
      </c>
      <c r="C11" s="20" t="s">
        <v>45</v>
      </c>
      <c r="D11" s="20" t="s">
        <v>1</v>
      </c>
      <c r="E11" s="20" t="s">
        <v>42</v>
      </c>
      <c r="F11" s="21">
        <f>(10%*598*Rates!$E$64)/A11</f>
        <v>330.75221238938053</v>
      </c>
      <c r="G11" s="21">
        <v>322.91699999999997</v>
      </c>
      <c r="H11" s="21">
        <f t="shared" si="1"/>
        <v>7.8352123893805583</v>
      </c>
      <c r="I11" s="20" t="str">
        <f t="shared" si="0"/>
        <v>Problem</v>
      </c>
    </row>
    <row r="12" spans="1:12" x14ac:dyDescent="0.25">
      <c r="A12" s="19">
        <v>113</v>
      </c>
      <c r="B12" s="20" t="s">
        <v>35</v>
      </c>
      <c r="C12" s="20" t="s">
        <v>45</v>
      </c>
      <c r="D12" s="20" t="s">
        <v>1</v>
      </c>
      <c r="E12" s="20" t="s">
        <v>43</v>
      </c>
      <c r="F12" s="21">
        <f>(10%*598*Rates!$E$64)/A12</f>
        <v>330.75221238938053</v>
      </c>
      <c r="G12" s="21">
        <v>322.91699999999997</v>
      </c>
      <c r="H12" s="21">
        <f t="shared" si="1"/>
        <v>7.8352123893805583</v>
      </c>
      <c r="I12" s="20" t="str">
        <f t="shared" si="0"/>
        <v>Problem</v>
      </c>
    </row>
    <row r="13" spans="1:12" x14ac:dyDescent="0.25">
      <c r="A13" s="16">
        <v>140</v>
      </c>
      <c r="B13" t="s">
        <v>35</v>
      </c>
      <c r="C13" t="s">
        <v>44</v>
      </c>
      <c r="D13" t="s">
        <v>2</v>
      </c>
      <c r="E13" t="s">
        <v>41</v>
      </c>
      <c r="F13" s="17">
        <f>(10%*598*Rates!$E$64)/A13</f>
        <v>266.96428571428572</v>
      </c>
      <c r="G13" s="17">
        <v>398.26499999999999</v>
      </c>
      <c r="H13" s="17">
        <f t="shared" si="1"/>
        <v>-131.30071428571426</v>
      </c>
      <c r="I13" t="str">
        <f t="shared" ref="I13:I18" si="2">IF(F13&gt;398.265,"Problem","Okay")</f>
        <v>Okay</v>
      </c>
    </row>
    <row r="14" spans="1:12" x14ac:dyDescent="0.25">
      <c r="A14" s="16">
        <v>140</v>
      </c>
      <c r="B14" t="s">
        <v>35</v>
      </c>
      <c r="C14" t="s">
        <v>44</v>
      </c>
      <c r="D14" t="s">
        <v>2</v>
      </c>
      <c r="E14" t="s">
        <v>42</v>
      </c>
      <c r="F14" s="17">
        <f>(10%*598*Rates!$E$64)/A14</f>
        <v>266.96428571428572</v>
      </c>
      <c r="G14" s="17">
        <v>398.26499999999999</v>
      </c>
      <c r="H14" s="17">
        <f t="shared" si="1"/>
        <v>-131.30071428571426</v>
      </c>
      <c r="I14" t="str">
        <f t="shared" si="2"/>
        <v>Okay</v>
      </c>
    </row>
    <row r="15" spans="1:12" x14ac:dyDescent="0.25">
      <c r="A15" s="16">
        <v>140</v>
      </c>
      <c r="B15" t="s">
        <v>35</v>
      </c>
      <c r="C15" t="s">
        <v>44</v>
      </c>
      <c r="D15" t="s">
        <v>2</v>
      </c>
      <c r="E15" t="s">
        <v>43</v>
      </c>
      <c r="F15" s="17">
        <f>(10%*598*Rates!$E$64)/A15</f>
        <v>266.96428571428572</v>
      </c>
      <c r="G15" s="17">
        <v>398.26499999999999</v>
      </c>
      <c r="H15" s="17">
        <f t="shared" si="1"/>
        <v>-131.30071428571426</v>
      </c>
      <c r="I15" t="str">
        <f t="shared" si="2"/>
        <v>Okay</v>
      </c>
    </row>
    <row r="16" spans="1:12" x14ac:dyDescent="0.25">
      <c r="A16" s="16">
        <v>140</v>
      </c>
      <c r="B16" t="s">
        <v>35</v>
      </c>
      <c r="C16" t="s">
        <v>44</v>
      </c>
      <c r="D16" t="s">
        <v>32</v>
      </c>
      <c r="E16" t="s">
        <v>41</v>
      </c>
      <c r="F16" s="17">
        <f>(10%*598*Rates!$E$64)/A16</f>
        <v>266.96428571428572</v>
      </c>
      <c r="G16" s="17">
        <v>398.26499999999999</v>
      </c>
      <c r="H16" s="17">
        <f t="shared" si="1"/>
        <v>-131.30071428571426</v>
      </c>
      <c r="I16" t="str">
        <f t="shared" si="2"/>
        <v>Okay</v>
      </c>
    </row>
    <row r="17" spans="1:13" x14ac:dyDescent="0.25">
      <c r="A17" s="16">
        <v>140</v>
      </c>
      <c r="B17" t="s">
        <v>35</v>
      </c>
      <c r="C17" t="s">
        <v>44</v>
      </c>
      <c r="D17" t="s">
        <v>32</v>
      </c>
      <c r="E17" t="s">
        <v>42</v>
      </c>
      <c r="F17" s="17">
        <f>(10%*598*Rates!$E$64)/A17</f>
        <v>266.96428571428572</v>
      </c>
      <c r="G17" s="17">
        <v>398.26499999999999</v>
      </c>
      <c r="H17" s="17">
        <f t="shared" si="1"/>
        <v>-131.30071428571426</v>
      </c>
      <c r="I17" t="str">
        <f t="shared" si="2"/>
        <v>Okay</v>
      </c>
    </row>
    <row r="18" spans="1:13" x14ac:dyDescent="0.25">
      <c r="A18" s="16">
        <v>140</v>
      </c>
      <c r="B18" t="s">
        <v>35</v>
      </c>
      <c r="C18" t="s">
        <v>44</v>
      </c>
      <c r="D18" t="s">
        <v>32</v>
      </c>
      <c r="E18" t="s">
        <v>43</v>
      </c>
      <c r="F18" s="17">
        <f>(10%*598*Rates!$E$64)/A18</f>
        <v>266.96428571428572</v>
      </c>
      <c r="G18" s="17">
        <v>398.26499999999999</v>
      </c>
      <c r="H18" s="17">
        <f t="shared" si="1"/>
        <v>-131.30071428571426</v>
      </c>
      <c r="I18" t="str">
        <f t="shared" si="2"/>
        <v>Okay</v>
      </c>
    </row>
    <row r="19" spans="1:13" ht="15.75" x14ac:dyDescent="0.25">
      <c r="A19" s="16">
        <v>148</v>
      </c>
      <c r="B19" t="s">
        <v>35</v>
      </c>
      <c r="C19" t="s">
        <v>45</v>
      </c>
      <c r="D19" t="s">
        <v>29</v>
      </c>
      <c r="E19" t="s">
        <v>41</v>
      </c>
      <c r="F19" s="17">
        <f>(10%*598*Rates!$E$64)/A19</f>
        <v>252.53378378378378</v>
      </c>
      <c r="G19" s="17">
        <v>322.91699999999997</v>
      </c>
      <c r="H19" s="17">
        <f t="shared" si="1"/>
        <v>-70.383216216216198</v>
      </c>
      <c r="I19" t="str">
        <f t="shared" ref="I19:I21" si="3">IF(F19&gt;322.917,"Problem","Okay")</f>
        <v>Okay</v>
      </c>
      <c r="L19" s="118">
        <v>13481</v>
      </c>
      <c r="M19" s="119">
        <f>L19*19</f>
        <v>256139</v>
      </c>
    </row>
    <row r="20" spans="1:13" x14ac:dyDescent="0.25">
      <c r="A20" s="16">
        <v>148</v>
      </c>
      <c r="B20" t="s">
        <v>35</v>
      </c>
      <c r="C20" t="s">
        <v>45</v>
      </c>
      <c r="D20" t="s">
        <v>29</v>
      </c>
      <c r="E20" t="s">
        <v>42</v>
      </c>
      <c r="F20" s="17">
        <f>(10%*598*Rates!$E$64)/A20</f>
        <v>252.53378378378378</v>
      </c>
      <c r="G20" s="17">
        <v>322.91699999999997</v>
      </c>
      <c r="H20" s="17">
        <f t="shared" si="1"/>
        <v>-70.383216216216198</v>
      </c>
      <c r="I20" t="str">
        <f t="shared" si="3"/>
        <v>Okay</v>
      </c>
    </row>
    <row r="21" spans="1:13" x14ac:dyDescent="0.25">
      <c r="A21" s="16">
        <v>148</v>
      </c>
      <c r="B21" t="s">
        <v>35</v>
      </c>
      <c r="C21" t="s">
        <v>45</v>
      </c>
      <c r="D21" t="s">
        <v>29</v>
      </c>
      <c r="E21" t="s">
        <v>43</v>
      </c>
      <c r="F21" s="17">
        <f>(10%*598*Rates!$E$64)/A21</f>
        <v>252.53378378378378</v>
      </c>
      <c r="G21" s="17">
        <v>322.91699999999997</v>
      </c>
      <c r="H21" s="17">
        <f t="shared" si="1"/>
        <v>-70.383216216216198</v>
      </c>
      <c r="I21" t="str">
        <f t="shared" si="3"/>
        <v>Okay</v>
      </c>
    </row>
    <row r="22" spans="1:13" x14ac:dyDescent="0.25">
      <c r="A22" s="16">
        <v>150</v>
      </c>
      <c r="B22" t="s">
        <v>35</v>
      </c>
      <c r="C22" t="s">
        <v>44</v>
      </c>
      <c r="D22" t="s">
        <v>1</v>
      </c>
      <c r="E22" t="s">
        <v>41</v>
      </c>
      <c r="F22" s="17">
        <f>(10%*598*Rates!$E$64)/A22</f>
        <v>249.16666666666666</v>
      </c>
      <c r="G22" s="17">
        <v>398.26499999999999</v>
      </c>
      <c r="H22" s="17">
        <f t="shared" si="1"/>
        <v>-149.09833333333333</v>
      </c>
      <c r="I22" t="str">
        <f t="shared" ref="I22:I27" si="4">IF(F22&gt;398.265,"Problem","Okay")</f>
        <v>Okay</v>
      </c>
    </row>
    <row r="23" spans="1:13" x14ac:dyDescent="0.25">
      <c r="A23" s="16">
        <v>150</v>
      </c>
      <c r="B23" t="s">
        <v>35</v>
      </c>
      <c r="C23" t="s">
        <v>44</v>
      </c>
      <c r="D23" t="s">
        <v>1</v>
      </c>
      <c r="E23" t="s">
        <v>42</v>
      </c>
      <c r="F23" s="17">
        <f>(10%*598*Rates!$E$64)/A23</f>
        <v>249.16666666666666</v>
      </c>
      <c r="G23" s="17">
        <v>398.26499999999999</v>
      </c>
      <c r="H23" s="17">
        <f t="shared" si="1"/>
        <v>-149.09833333333333</v>
      </c>
      <c r="I23" t="str">
        <f t="shared" si="4"/>
        <v>Okay</v>
      </c>
    </row>
    <row r="24" spans="1:13" x14ac:dyDescent="0.25">
      <c r="A24" s="16">
        <v>150</v>
      </c>
      <c r="B24" t="s">
        <v>35</v>
      </c>
      <c r="C24" t="s">
        <v>44</v>
      </c>
      <c r="D24" t="s">
        <v>1</v>
      </c>
      <c r="E24" t="s">
        <v>43</v>
      </c>
      <c r="F24" s="17">
        <f>(10%*598*Rates!$E$64)/A24</f>
        <v>249.16666666666666</v>
      </c>
      <c r="G24" s="17">
        <v>398.26499999999999</v>
      </c>
      <c r="H24" s="17">
        <f t="shared" si="1"/>
        <v>-149.09833333333333</v>
      </c>
      <c r="I24" t="str">
        <f t="shared" si="4"/>
        <v>Okay</v>
      </c>
    </row>
    <row r="25" spans="1:13" x14ac:dyDescent="0.25">
      <c r="A25" s="16">
        <v>185</v>
      </c>
      <c r="B25" t="s">
        <v>35</v>
      </c>
      <c r="C25" t="s">
        <v>44</v>
      </c>
      <c r="D25" t="s">
        <v>29</v>
      </c>
      <c r="E25" t="s">
        <v>41</v>
      </c>
      <c r="F25" s="17">
        <f>(10%*598*Rates!$E$64)/A25</f>
        <v>202.02702702702703</v>
      </c>
      <c r="G25" s="17">
        <v>398.26499999999999</v>
      </c>
      <c r="H25" s="17">
        <f t="shared" si="1"/>
        <v>-196.23797297297295</v>
      </c>
      <c r="I25" t="str">
        <f t="shared" si="4"/>
        <v>Okay</v>
      </c>
    </row>
    <row r="26" spans="1:13" x14ac:dyDescent="0.25">
      <c r="A26" s="16">
        <v>185</v>
      </c>
      <c r="B26" t="s">
        <v>35</v>
      </c>
      <c r="C26" t="s">
        <v>44</v>
      </c>
      <c r="D26" t="s">
        <v>29</v>
      </c>
      <c r="E26" t="s">
        <v>42</v>
      </c>
      <c r="F26" s="17">
        <f>(10%*598*Rates!$E$64)/A26</f>
        <v>202.02702702702703</v>
      </c>
      <c r="G26" s="17">
        <v>398.26499999999999</v>
      </c>
      <c r="H26" s="17">
        <f t="shared" si="1"/>
        <v>-196.23797297297295</v>
      </c>
      <c r="I26" t="str">
        <f t="shared" si="4"/>
        <v>Okay</v>
      </c>
    </row>
    <row r="27" spans="1:13" x14ac:dyDescent="0.25">
      <c r="A27" s="16">
        <v>185</v>
      </c>
      <c r="B27" t="s">
        <v>35</v>
      </c>
      <c r="C27" t="s">
        <v>44</v>
      </c>
      <c r="D27" t="s">
        <v>29</v>
      </c>
      <c r="E27" t="s">
        <v>43</v>
      </c>
      <c r="F27" s="17">
        <f>(10%*598*Rates!$E$64)/A27</f>
        <v>202.02702702702703</v>
      </c>
      <c r="G27" s="17">
        <v>398.26499999999999</v>
      </c>
      <c r="H27" s="17">
        <f t="shared" si="1"/>
        <v>-196.23797297297295</v>
      </c>
      <c r="I27" t="str">
        <f t="shared" si="4"/>
        <v>Okay</v>
      </c>
    </row>
    <row r="28" spans="1:13" x14ac:dyDescent="0.25">
      <c r="A28" s="19">
        <v>1131</v>
      </c>
      <c r="B28" s="20" t="s">
        <v>4</v>
      </c>
      <c r="C28" s="20" t="s">
        <v>45</v>
      </c>
      <c r="D28" s="20" t="s">
        <v>2</v>
      </c>
      <c r="E28" s="20" t="s">
        <v>41</v>
      </c>
      <c r="F28" s="21">
        <f>(10%*55.74*Rates!$E$63)/A28</f>
        <v>33.155393952254641</v>
      </c>
      <c r="G28" s="21">
        <v>30</v>
      </c>
      <c r="H28" s="21">
        <f t="shared" si="1"/>
        <v>3.1553939522546415</v>
      </c>
      <c r="I28" s="20" t="str">
        <f t="shared" ref="I28:I36" si="5">IF(F28&gt;30,"Problem","Okay")</f>
        <v>Problem</v>
      </c>
      <c r="K28" s="23"/>
    </row>
    <row r="29" spans="1:13" x14ac:dyDescent="0.25">
      <c r="A29" s="19">
        <v>1131</v>
      </c>
      <c r="B29" s="20" t="s">
        <v>4</v>
      </c>
      <c r="C29" s="20" t="s">
        <v>45</v>
      </c>
      <c r="D29" s="20" t="s">
        <v>2</v>
      </c>
      <c r="E29" s="20" t="s">
        <v>42</v>
      </c>
      <c r="F29" s="21">
        <f>(10%*55.74*Rates!$E$63)/A29</f>
        <v>33.155393952254641</v>
      </c>
      <c r="G29" s="21">
        <v>30</v>
      </c>
      <c r="H29" s="21">
        <f t="shared" si="1"/>
        <v>3.1553939522546415</v>
      </c>
      <c r="I29" s="20" t="str">
        <f t="shared" si="5"/>
        <v>Problem</v>
      </c>
    </row>
    <row r="30" spans="1:13" x14ac:dyDescent="0.25">
      <c r="A30" s="19">
        <v>1131</v>
      </c>
      <c r="B30" s="20" t="s">
        <v>4</v>
      </c>
      <c r="C30" s="20" t="s">
        <v>45</v>
      </c>
      <c r="D30" s="20" t="s">
        <v>2</v>
      </c>
      <c r="E30" s="20" t="s">
        <v>43</v>
      </c>
      <c r="F30" s="21">
        <f>(10%*55.74*Rates!$E$63)/A30</f>
        <v>33.155393952254641</v>
      </c>
      <c r="G30" s="21">
        <v>30</v>
      </c>
      <c r="H30" s="21">
        <f t="shared" si="1"/>
        <v>3.1553939522546415</v>
      </c>
      <c r="I30" s="20" t="str">
        <f t="shared" si="5"/>
        <v>Problem</v>
      </c>
    </row>
    <row r="31" spans="1:13" x14ac:dyDescent="0.25">
      <c r="A31" s="19">
        <v>1131</v>
      </c>
      <c r="B31" s="20" t="s">
        <v>4</v>
      </c>
      <c r="C31" s="20" t="s">
        <v>45</v>
      </c>
      <c r="D31" s="20" t="s">
        <v>32</v>
      </c>
      <c r="E31" s="20" t="s">
        <v>41</v>
      </c>
      <c r="F31" s="21">
        <f>(10%*55.74*Rates!$E$63)/A31</f>
        <v>33.155393952254641</v>
      </c>
      <c r="G31" s="21">
        <v>30</v>
      </c>
      <c r="H31" s="21">
        <f t="shared" si="1"/>
        <v>3.1553939522546415</v>
      </c>
      <c r="I31" s="20" t="str">
        <f t="shared" si="5"/>
        <v>Problem</v>
      </c>
    </row>
    <row r="32" spans="1:13" x14ac:dyDescent="0.25">
      <c r="A32" s="19">
        <v>1131</v>
      </c>
      <c r="B32" s="20" t="s">
        <v>4</v>
      </c>
      <c r="C32" s="20" t="s">
        <v>45</v>
      </c>
      <c r="D32" s="20" t="s">
        <v>32</v>
      </c>
      <c r="E32" s="20" t="s">
        <v>42</v>
      </c>
      <c r="F32" s="21">
        <f>(10%*55.74*Rates!$E$63)/A32</f>
        <v>33.155393952254641</v>
      </c>
      <c r="G32" s="21">
        <v>30</v>
      </c>
      <c r="H32" s="21">
        <f t="shared" si="1"/>
        <v>3.1553939522546415</v>
      </c>
      <c r="I32" s="20" t="str">
        <f t="shared" si="5"/>
        <v>Problem</v>
      </c>
    </row>
    <row r="33" spans="1:9" x14ac:dyDescent="0.25">
      <c r="A33" s="19">
        <v>1131</v>
      </c>
      <c r="B33" s="20" t="s">
        <v>4</v>
      </c>
      <c r="C33" s="20" t="s">
        <v>45</v>
      </c>
      <c r="D33" s="20" t="s">
        <v>32</v>
      </c>
      <c r="E33" s="20" t="s">
        <v>43</v>
      </c>
      <c r="F33" s="21">
        <f>(10%*55.74*Rates!$E$63)/A33</f>
        <v>33.155393952254641</v>
      </c>
      <c r="G33" s="21">
        <v>30</v>
      </c>
      <c r="H33" s="21">
        <f t="shared" si="1"/>
        <v>3.1553939522546415</v>
      </c>
      <c r="I33" s="20" t="str">
        <f t="shared" si="5"/>
        <v>Problem</v>
      </c>
    </row>
    <row r="34" spans="1:9" x14ac:dyDescent="0.25">
      <c r="A34" s="19">
        <v>1217</v>
      </c>
      <c r="B34" s="20" t="s">
        <v>4</v>
      </c>
      <c r="C34" s="20" t="s">
        <v>45</v>
      </c>
      <c r="D34" s="20" t="s">
        <v>1</v>
      </c>
      <c r="E34" s="20" t="s">
        <v>41</v>
      </c>
      <c r="F34" s="21">
        <f>(10%*55.74*Rates!$E$63)/A34</f>
        <v>30.812449104354972</v>
      </c>
      <c r="G34" s="21">
        <v>30</v>
      </c>
      <c r="H34" s="21">
        <f t="shared" si="1"/>
        <v>0.81244910435497175</v>
      </c>
      <c r="I34" s="20" t="str">
        <f t="shared" si="5"/>
        <v>Problem</v>
      </c>
    </row>
    <row r="35" spans="1:9" x14ac:dyDescent="0.25">
      <c r="A35" s="19">
        <v>1217</v>
      </c>
      <c r="B35" s="20" t="s">
        <v>4</v>
      </c>
      <c r="C35" s="20" t="s">
        <v>45</v>
      </c>
      <c r="D35" s="20" t="s">
        <v>1</v>
      </c>
      <c r="E35" s="20" t="s">
        <v>42</v>
      </c>
      <c r="F35" s="21">
        <f>(10%*55.74*Rates!$E$63)/A35</f>
        <v>30.812449104354972</v>
      </c>
      <c r="G35" s="21">
        <v>30</v>
      </c>
      <c r="H35" s="21">
        <f t="shared" si="1"/>
        <v>0.81244910435497175</v>
      </c>
      <c r="I35" s="20" t="str">
        <f t="shared" si="5"/>
        <v>Problem</v>
      </c>
    </row>
    <row r="36" spans="1:9" x14ac:dyDescent="0.25">
      <c r="A36" s="19">
        <v>1217</v>
      </c>
      <c r="B36" s="20" t="s">
        <v>4</v>
      </c>
      <c r="C36" s="20" t="s">
        <v>45</v>
      </c>
      <c r="D36" s="20" t="s">
        <v>1</v>
      </c>
      <c r="E36" s="20" t="s">
        <v>43</v>
      </c>
      <c r="F36" s="21">
        <f>(10%*55.74*Rates!$E$63)/A36</f>
        <v>30.812449104354972</v>
      </c>
      <c r="G36" s="21">
        <v>30</v>
      </c>
      <c r="H36" s="21">
        <f t="shared" si="1"/>
        <v>0.81244910435497175</v>
      </c>
      <c r="I36" s="20" t="str">
        <f t="shared" si="5"/>
        <v>Problem</v>
      </c>
    </row>
    <row r="37" spans="1:9" x14ac:dyDescent="0.25">
      <c r="A37" s="16">
        <v>1507</v>
      </c>
      <c r="B37" t="s">
        <v>4</v>
      </c>
      <c r="C37" t="s">
        <v>44</v>
      </c>
      <c r="D37" t="s">
        <v>2</v>
      </c>
      <c r="E37" t="s">
        <v>41</v>
      </c>
      <c r="F37" s="17">
        <f>(10%*55.74*Rates!$E$63)/A37</f>
        <v>24.883046157929662</v>
      </c>
      <c r="G37" s="17">
        <v>37</v>
      </c>
      <c r="H37" s="17">
        <f t="shared" si="1"/>
        <v>-12.116953842070338</v>
      </c>
      <c r="I37" t="str">
        <f>IF(F37&gt;37,"Problem","Okay")</f>
        <v>Okay</v>
      </c>
    </row>
    <row r="38" spans="1:9" x14ac:dyDescent="0.25">
      <c r="A38" s="16">
        <v>1507</v>
      </c>
      <c r="B38" t="s">
        <v>4</v>
      </c>
      <c r="C38" t="s">
        <v>44</v>
      </c>
      <c r="D38" t="s">
        <v>2</v>
      </c>
      <c r="E38" t="s">
        <v>42</v>
      </c>
      <c r="F38" s="17">
        <f>(10%*55.74*Rates!$E$63)/A38</f>
        <v>24.883046157929662</v>
      </c>
      <c r="G38" s="17">
        <v>37</v>
      </c>
      <c r="H38" s="17">
        <f t="shared" si="1"/>
        <v>-12.116953842070338</v>
      </c>
      <c r="I38" t="str">
        <f t="shared" ref="I38:I42" si="6">IF(F38&gt;37,"Problem","Okay")</f>
        <v>Okay</v>
      </c>
    </row>
    <row r="39" spans="1:9" x14ac:dyDescent="0.25">
      <c r="A39" s="16">
        <v>1507</v>
      </c>
      <c r="B39" t="s">
        <v>4</v>
      </c>
      <c r="C39" t="s">
        <v>44</v>
      </c>
      <c r="D39" t="s">
        <v>2</v>
      </c>
      <c r="E39" t="s">
        <v>43</v>
      </c>
      <c r="F39" s="17">
        <f>(10%*55.74*Rates!$E$63)/A39</f>
        <v>24.883046157929662</v>
      </c>
      <c r="G39" s="17">
        <v>37</v>
      </c>
      <c r="H39" s="17">
        <f t="shared" si="1"/>
        <v>-12.116953842070338</v>
      </c>
      <c r="I39" t="str">
        <f t="shared" si="6"/>
        <v>Okay</v>
      </c>
    </row>
    <row r="40" spans="1:9" x14ac:dyDescent="0.25">
      <c r="A40" s="16">
        <v>1507</v>
      </c>
      <c r="B40" t="s">
        <v>4</v>
      </c>
      <c r="C40" t="s">
        <v>44</v>
      </c>
      <c r="D40" t="s">
        <v>32</v>
      </c>
      <c r="E40" t="s">
        <v>41</v>
      </c>
      <c r="F40" s="17">
        <f>(10%*55.74*Rates!$E$63)/A40</f>
        <v>24.883046157929662</v>
      </c>
      <c r="G40" s="17">
        <v>37</v>
      </c>
      <c r="H40" s="17">
        <f t="shared" si="1"/>
        <v>-12.116953842070338</v>
      </c>
      <c r="I40" t="str">
        <f t="shared" si="6"/>
        <v>Okay</v>
      </c>
    </row>
    <row r="41" spans="1:9" x14ac:dyDescent="0.25">
      <c r="A41" s="16">
        <v>1507</v>
      </c>
      <c r="B41" t="s">
        <v>4</v>
      </c>
      <c r="C41" t="s">
        <v>44</v>
      </c>
      <c r="D41" t="s">
        <v>32</v>
      </c>
      <c r="E41" t="s">
        <v>42</v>
      </c>
      <c r="F41" s="17">
        <f>(10%*55.74*Rates!$E$63)/A41</f>
        <v>24.883046157929662</v>
      </c>
      <c r="G41" s="17">
        <v>37</v>
      </c>
      <c r="H41" s="17">
        <f t="shared" si="1"/>
        <v>-12.116953842070338</v>
      </c>
      <c r="I41" t="str">
        <f t="shared" si="6"/>
        <v>Okay</v>
      </c>
    </row>
    <row r="42" spans="1:9" x14ac:dyDescent="0.25">
      <c r="A42" s="16">
        <v>1507</v>
      </c>
      <c r="B42" t="s">
        <v>4</v>
      </c>
      <c r="C42" t="s">
        <v>44</v>
      </c>
      <c r="D42" t="s">
        <v>32</v>
      </c>
      <c r="E42" t="s">
        <v>43</v>
      </c>
      <c r="F42" s="17">
        <f>(10%*55.74*Rates!$E$63)/A42</f>
        <v>24.883046157929662</v>
      </c>
      <c r="G42" s="17">
        <v>37</v>
      </c>
      <c r="H42" s="17">
        <f t="shared" si="1"/>
        <v>-12.116953842070338</v>
      </c>
      <c r="I42" t="str">
        <f t="shared" si="6"/>
        <v>Okay</v>
      </c>
    </row>
    <row r="43" spans="1:9" x14ac:dyDescent="0.25">
      <c r="A43" s="16">
        <v>1594</v>
      </c>
      <c r="B43" t="s">
        <v>4</v>
      </c>
      <c r="C43" t="s">
        <v>45</v>
      </c>
      <c r="D43" t="s">
        <v>29</v>
      </c>
      <c r="E43" t="s">
        <v>41</v>
      </c>
      <c r="F43" s="17">
        <f>(10%*55.74*Rates!$E$63)/A43</f>
        <v>23.524937616060225</v>
      </c>
      <c r="G43" s="17">
        <v>30</v>
      </c>
      <c r="H43" s="17">
        <f t="shared" si="1"/>
        <v>-6.4750623839397754</v>
      </c>
      <c r="I43" t="str">
        <f>IF(F43&gt;30,"Problem","Okay")</f>
        <v>Okay</v>
      </c>
    </row>
    <row r="44" spans="1:9" x14ac:dyDescent="0.25">
      <c r="A44" s="16">
        <v>1594</v>
      </c>
      <c r="B44" t="s">
        <v>4</v>
      </c>
      <c r="C44" t="s">
        <v>45</v>
      </c>
      <c r="D44" t="s">
        <v>29</v>
      </c>
      <c r="E44" t="s">
        <v>42</v>
      </c>
      <c r="F44" s="17">
        <f>(10%*55.74*Rates!$E$63)/A44</f>
        <v>23.524937616060225</v>
      </c>
      <c r="G44" s="17">
        <v>30</v>
      </c>
      <c r="H44" s="17">
        <f t="shared" si="1"/>
        <v>-6.4750623839397754</v>
      </c>
      <c r="I44" t="str">
        <f>IF(F44&gt;30,"Problem","Okay")</f>
        <v>Okay</v>
      </c>
    </row>
    <row r="45" spans="1:9" x14ac:dyDescent="0.25">
      <c r="A45" s="16">
        <v>1594</v>
      </c>
      <c r="B45" t="s">
        <v>4</v>
      </c>
      <c r="C45" t="s">
        <v>45</v>
      </c>
      <c r="D45" t="s">
        <v>29</v>
      </c>
      <c r="E45" t="s">
        <v>43</v>
      </c>
      <c r="F45" s="17">
        <f>(10%*55.74*Rates!$E$63)/A45</f>
        <v>23.524937616060225</v>
      </c>
      <c r="G45" s="17">
        <v>30</v>
      </c>
      <c r="H45" s="17">
        <f t="shared" si="1"/>
        <v>-6.4750623839397754</v>
      </c>
      <c r="I45" t="str">
        <f>IF(F45&gt;30,"Problem","Okay")</f>
        <v>Okay</v>
      </c>
    </row>
    <row r="46" spans="1:9" x14ac:dyDescent="0.25">
      <c r="A46" s="16">
        <v>1615</v>
      </c>
      <c r="B46" t="s">
        <v>4</v>
      </c>
      <c r="C46" t="s">
        <v>44</v>
      </c>
      <c r="D46" t="s">
        <v>1</v>
      </c>
      <c r="E46" t="s">
        <v>41</v>
      </c>
      <c r="F46" s="17">
        <f>(10%*55.74*Rates!$E$63)/A46</f>
        <v>23.219040594427245</v>
      </c>
      <c r="G46" s="17">
        <v>37</v>
      </c>
      <c r="H46" s="17">
        <f t="shared" si="1"/>
        <v>-13.780959405572755</v>
      </c>
      <c r="I46" t="str">
        <f t="shared" ref="I46:I51" si="7">IF(F46&gt;37,"Problem","Okay")</f>
        <v>Okay</v>
      </c>
    </row>
    <row r="47" spans="1:9" x14ac:dyDescent="0.25">
      <c r="A47" s="16">
        <v>1615</v>
      </c>
      <c r="B47" t="s">
        <v>4</v>
      </c>
      <c r="C47" t="s">
        <v>44</v>
      </c>
      <c r="D47" t="s">
        <v>1</v>
      </c>
      <c r="E47" t="s">
        <v>42</v>
      </c>
      <c r="F47" s="17">
        <f>(10%*55.74*Rates!$E$63)/A47</f>
        <v>23.219040594427245</v>
      </c>
      <c r="G47" s="17">
        <v>37</v>
      </c>
      <c r="H47" s="17">
        <f t="shared" si="1"/>
        <v>-13.780959405572755</v>
      </c>
      <c r="I47" t="str">
        <f t="shared" si="7"/>
        <v>Okay</v>
      </c>
    </row>
    <row r="48" spans="1:9" x14ac:dyDescent="0.25">
      <c r="A48" s="16">
        <v>1615</v>
      </c>
      <c r="B48" t="s">
        <v>4</v>
      </c>
      <c r="C48" t="s">
        <v>44</v>
      </c>
      <c r="D48" t="s">
        <v>1</v>
      </c>
      <c r="E48" t="s">
        <v>43</v>
      </c>
      <c r="F48" s="17">
        <f>(10%*55.74*Rates!$E$63)/A48</f>
        <v>23.219040594427245</v>
      </c>
      <c r="G48" s="17">
        <v>37</v>
      </c>
      <c r="H48" s="17">
        <f t="shared" si="1"/>
        <v>-13.780959405572755</v>
      </c>
      <c r="I48" t="str">
        <f t="shared" si="7"/>
        <v>Okay</v>
      </c>
    </row>
    <row r="49" spans="1:9" x14ac:dyDescent="0.25">
      <c r="A49" s="16">
        <v>1992</v>
      </c>
      <c r="B49" t="s">
        <v>4</v>
      </c>
      <c r="C49" t="s">
        <v>44</v>
      </c>
      <c r="D49" t="s">
        <v>29</v>
      </c>
      <c r="E49" t="s">
        <v>41</v>
      </c>
      <c r="F49" s="17">
        <f>(10%*55.74*Rates!$E$63)/A49</f>
        <v>18.824673975903615</v>
      </c>
      <c r="G49" s="17">
        <v>37</v>
      </c>
      <c r="H49" s="17">
        <f t="shared" si="1"/>
        <v>-18.175326024096385</v>
      </c>
      <c r="I49" t="str">
        <f t="shared" si="7"/>
        <v>Okay</v>
      </c>
    </row>
    <row r="50" spans="1:9" x14ac:dyDescent="0.25">
      <c r="A50" s="16">
        <v>1992</v>
      </c>
      <c r="B50" t="s">
        <v>4</v>
      </c>
      <c r="C50" t="s">
        <v>44</v>
      </c>
      <c r="D50" t="s">
        <v>29</v>
      </c>
      <c r="E50" t="s">
        <v>42</v>
      </c>
      <c r="F50" s="17">
        <f>(10%*55.74*Rates!$E$63)/A50</f>
        <v>18.824673975903615</v>
      </c>
      <c r="G50" s="17">
        <v>37</v>
      </c>
      <c r="H50" s="17">
        <f t="shared" si="1"/>
        <v>-18.175326024096385</v>
      </c>
      <c r="I50" t="str">
        <f t="shared" si="7"/>
        <v>Okay</v>
      </c>
    </row>
    <row r="51" spans="1:9" x14ac:dyDescent="0.25">
      <c r="A51" s="16">
        <v>1992</v>
      </c>
      <c r="B51" t="s">
        <v>4</v>
      </c>
      <c r="C51" t="s">
        <v>44</v>
      </c>
      <c r="D51" t="s">
        <v>29</v>
      </c>
      <c r="E51" t="s">
        <v>43</v>
      </c>
      <c r="F51" s="17">
        <f>(10%*55.74*Rates!$E$63)/A51</f>
        <v>18.824673975903615</v>
      </c>
      <c r="G51" s="17">
        <v>37</v>
      </c>
      <c r="H51" s="17">
        <f t="shared" si="1"/>
        <v>-18.175326024096385</v>
      </c>
      <c r="I51" t="str">
        <f t="shared" si="7"/>
        <v>Okay</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02232-C5A3-4048-9410-E7D87E636BA4}">
  <dimension ref="C4:M65"/>
  <sheetViews>
    <sheetView workbookViewId="0">
      <selection activeCell="G47" sqref="G47"/>
    </sheetView>
  </sheetViews>
  <sheetFormatPr defaultColWidth="9" defaultRowHeight="15" x14ac:dyDescent="0.25"/>
  <cols>
    <col min="1" max="2" width="9" style="1"/>
    <col min="3" max="3" width="38.140625" style="1" customWidth="1"/>
    <col min="4" max="4" width="32" style="1" customWidth="1"/>
    <col min="5" max="5" width="19.28515625" style="1" customWidth="1"/>
    <col min="6" max="6" width="15.7109375" style="1" customWidth="1"/>
    <col min="7" max="8" width="14.7109375" style="1" customWidth="1"/>
    <col min="9" max="9" width="23.7109375" style="1" customWidth="1"/>
    <col min="10" max="10" width="17.42578125" style="1" customWidth="1"/>
    <col min="11" max="11" width="12" style="1" customWidth="1"/>
    <col min="12" max="12" width="10.42578125" style="1" customWidth="1"/>
    <col min="13" max="13" width="11.140625" style="1" customWidth="1"/>
    <col min="14" max="16384" width="9" style="1"/>
  </cols>
  <sheetData>
    <row r="4" spans="3:13" ht="17.25" customHeight="1" x14ac:dyDescent="0.25">
      <c r="C4" s="9" t="s">
        <v>5</v>
      </c>
      <c r="D4" s="9" t="s">
        <v>46</v>
      </c>
      <c r="E4" s="9" t="s">
        <v>3</v>
      </c>
      <c r="F4" s="9" t="s">
        <v>6</v>
      </c>
      <c r="G4" s="9" t="s">
        <v>14</v>
      </c>
      <c r="L4" s="5"/>
      <c r="M4" s="5"/>
    </row>
    <row r="5" spans="3:13" x14ac:dyDescent="0.25">
      <c r="C5" s="7" t="s">
        <v>41</v>
      </c>
      <c r="D5" s="7" t="s">
        <v>44</v>
      </c>
      <c r="E5" s="7" t="s">
        <v>4</v>
      </c>
      <c r="F5" s="2" t="s">
        <v>1</v>
      </c>
      <c r="G5" s="8">
        <v>1615</v>
      </c>
      <c r="L5" s="6"/>
      <c r="M5" s="6"/>
    </row>
    <row r="6" spans="3:13" x14ac:dyDescent="0.25">
      <c r="C6" s="7" t="s">
        <v>41</v>
      </c>
      <c r="D6" s="7" t="s">
        <v>44</v>
      </c>
      <c r="E6" s="7" t="s">
        <v>4</v>
      </c>
      <c r="F6" s="2" t="s">
        <v>2</v>
      </c>
      <c r="G6" s="8">
        <v>1507</v>
      </c>
      <c r="L6" s="6"/>
      <c r="M6" s="6"/>
    </row>
    <row r="7" spans="3:13" x14ac:dyDescent="0.25">
      <c r="C7" s="7" t="s">
        <v>41</v>
      </c>
      <c r="D7" s="7" t="s">
        <v>44</v>
      </c>
      <c r="E7" s="7" t="s">
        <v>4</v>
      </c>
      <c r="F7" s="2" t="s">
        <v>29</v>
      </c>
      <c r="G7" s="8">
        <v>1992</v>
      </c>
      <c r="L7" s="6"/>
      <c r="M7" s="6"/>
    </row>
    <row r="8" spans="3:13" x14ac:dyDescent="0.25">
      <c r="C8" s="7" t="s">
        <v>41</v>
      </c>
      <c r="D8" s="7" t="s">
        <v>44</v>
      </c>
      <c r="E8" s="7" t="s">
        <v>4</v>
      </c>
      <c r="F8" s="2" t="s">
        <v>32</v>
      </c>
      <c r="G8" s="8">
        <v>1507</v>
      </c>
      <c r="L8" s="6"/>
      <c r="M8" s="6"/>
    </row>
    <row r="9" spans="3:13" x14ac:dyDescent="0.25">
      <c r="C9" s="7" t="s">
        <v>41</v>
      </c>
      <c r="D9" s="7" t="s">
        <v>44</v>
      </c>
      <c r="E9" s="7" t="s">
        <v>35</v>
      </c>
      <c r="F9" s="2" t="s">
        <v>1</v>
      </c>
      <c r="G9" s="8">
        <v>150</v>
      </c>
      <c r="L9" s="6"/>
      <c r="M9" s="6"/>
    </row>
    <row r="10" spans="3:13" x14ac:dyDescent="0.25">
      <c r="C10" s="7" t="s">
        <v>41</v>
      </c>
      <c r="D10" s="7" t="s">
        <v>44</v>
      </c>
      <c r="E10" s="7" t="s">
        <v>35</v>
      </c>
      <c r="F10" s="2" t="s">
        <v>2</v>
      </c>
      <c r="G10" s="8">
        <v>140</v>
      </c>
      <c r="L10" s="6"/>
      <c r="M10" s="6"/>
    </row>
    <row r="11" spans="3:13" x14ac:dyDescent="0.25">
      <c r="C11" s="7" t="s">
        <v>41</v>
      </c>
      <c r="D11" s="7" t="s">
        <v>44</v>
      </c>
      <c r="E11" s="7" t="s">
        <v>35</v>
      </c>
      <c r="F11" s="2" t="s">
        <v>29</v>
      </c>
      <c r="G11" s="8">
        <v>185</v>
      </c>
      <c r="L11" s="6"/>
      <c r="M11" s="6"/>
    </row>
    <row r="12" spans="3:13" x14ac:dyDescent="0.25">
      <c r="C12" s="7" t="s">
        <v>41</v>
      </c>
      <c r="D12" s="7" t="s">
        <v>44</v>
      </c>
      <c r="E12" s="7" t="s">
        <v>35</v>
      </c>
      <c r="F12" s="2" t="s">
        <v>32</v>
      </c>
      <c r="G12" s="8">
        <v>140</v>
      </c>
      <c r="K12" s="6"/>
      <c r="L12" s="6"/>
      <c r="M12" s="6"/>
    </row>
    <row r="13" spans="3:13" x14ac:dyDescent="0.25">
      <c r="C13" s="7" t="s">
        <v>41</v>
      </c>
      <c r="D13" s="7" t="s">
        <v>45</v>
      </c>
      <c r="E13" s="7" t="s">
        <v>4</v>
      </c>
      <c r="F13" s="2" t="s">
        <v>1</v>
      </c>
      <c r="G13" s="8">
        <v>1217</v>
      </c>
      <c r="K13" s="6"/>
      <c r="L13" s="6"/>
      <c r="M13" s="6"/>
    </row>
    <row r="14" spans="3:13" x14ac:dyDescent="0.25">
      <c r="C14" s="7" t="s">
        <v>41</v>
      </c>
      <c r="D14" s="7" t="s">
        <v>45</v>
      </c>
      <c r="E14" s="7" t="s">
        <v>4</v>
      </c>
      <c r="F14" s="2" t="s">
        <v>2</v>
      </c>
      <c r="G14" s="8">
        <v>1131</v>
      </c>
      <c r="K14" s="6"/>
      <c r="L14" s="6"/>
      <c r="M14" s="6"/>
    </row>
    <row r="15" spans="3:13" x14ac:dyDescent="0.25">
      <c r="C15" s="7" t="s">
        <v>41</v>
      </c>
      <c r="D15" s="7" t="s">
        <v>45</v>
      </c>
      <c r="E15" s="7" t="s">
        <v>4</v>
      </c>
      <c r="F15" s="2" t="s">
        <v>29</v>
      </c>
      <c r="G15" s="8">
        <v>1594</v>
      </c>
      <c r="K15" s="6"/>
      <c r="L15" s="6"/>
      <c r="M15" s="6"/>
    </row>
    <row r="16" spans="3:13" x14ac:dyDescent="0.25">
      <c r="C16" s="7" t="s">
        <v>41</v>
      </c>
      <c r="D16" s="7" t="s">
        <v>45</v>
      </c>
      <c r="E16" s="7" t="s">
        <v>4</v>
      </c>
      <c r="F16" s="2" t="s">
        <v>32</v>
      </c>
      <c r="G16" s="8">
        <v>1131</v>
      </c>
      <c r="K16" s="6"/>
      <c r="L16" s="6"/>
      <c r="M16" s="6"/>
    </row>
    <row r="17" spans="3:7" x14ac:dyDescent="0.25">
      <c r="C17" s="7" t="s">
        <v>41</v>
      </c>
      <c r="D17" s="7" t="s">
        <v>45</v>
      </c>
      <c r="E17" s="7" t="s">
        <v>35</v>
      </c>
      <c r="F17" s="2" t="s">
        <v>1</v>
      </c>
      <c r="G17" s="8">
        <v>113</v>
      </c>
    </row>
    <row r="18" spans="3:7" x14ac:dyDescent="0.25">
      <c r="C18" s="7" t="s">
        <v>41</v>
      </c>
      <c r="D18" s="7" t="s">
        <v>45</v>
      </c>
      <c r="E18" s="7" t="s">
        <v>35</v>
      </c>
      <c r="F18" s="2" t="s">
        <v>2</v>
      </c>
      <c r="G18" s="8">
        <v>105</v>
      </c>
    </row>
    <row r="19" spans="3:7" x14ac:dyDescent="0.25">
      <c r="C19" s="7" t="s">
        <v>41</v>
      </c>
      <c r="D19" s="7" t="s">
        <v>45</v>
      </c>
      <c r="E19" s="7" t="s">
        <v>35</v>
      </c>
      <c r="F19" s="2" t="s">
        <v>29</v>
      </c>
      <c r="G19" s="8">
        <v>148</v>
      </c>
    </row>
    <row r="20" spans="3:7" x14ac:dyDescent="0.25">
      <c r="C20" s="7" t="s">
        <v>41</v>
      </c>
      <c r="D20" s="7" t="s">
        <v>45</v>
      </c>
      <c r="E20" s="7" t="s">
        <v>35</v>
      </c>
      <c r="F20" s="2" t="s">
        <v>32</v>
      </c>
      <c r="G20" s="8">
        <v>105</v>
      </c>
    </row>
    <row r="21" spans="3:7" x14ac:dyDescent="0.25">
      <c r="C21" s="7" t="s">
        <v>42</v>
      </c>
      <c r="D21" s="7" t="s">
        <v>44</v>
      </c>
      <c r="E21" s="7" t="s">
        <v>4</v>
      </c>
      <c r="F21" s="2" t="s">
        <v>1</v>
      </c>
      <c r="G21" s="8">
        <v>1615</v>
      </c>
    </row>
    <row r="22" spans="3:7" x14ac:dyDescent="0.25">
      <c r="C22" s="7" t="s">
        <v>42</v>
      </c>
      <c r="D22" s="7" t="s">
        <v>44</v>
      </c>
      <c r="E22" s="7" t="s">
        <v>4</v>
      </c>
      <c r="F22" s="2" t="s">
        <v>2</v>
      </c>
      <c r="G22" s="8">
        <v>1507</v>
      </c>
    </row>
    <row r="23" spans="3:7" x14ac:dyDescent="0.25">
      <c r="C23" s="7" t="s">
        <v>42</v>
      </c>
      <c r="D23" s="7" t="s">
        <v>44</v>
      </c>
      <c r="E23" s="7" t="s">
        <v>4</v>
      </c>
      <c r="F23" s="2" t="s">
        <v>29</v>
      </c>
      <c r="G23" s="8">
        <v>1992</v>
      </c>
    </row>
    <row r="24" spans="3:7" x14ac:dyDescent="0.25">
      <c r="C24" s="7" t="s">
        <v>42</v>
      </c>
      <c r="D24" s="7" t="s">
        <v>44</v>
      </c>
      <c r="E24" s="7" t="s">
        <v>4</v>
      </c>
      <c r="F24" s="2" t="s">
        <v>32</v>
      </c>
      <c r="G24" s="8">
        <v>1507</v>
      </c>
    </row>
    <row r="25" spans="3:7" x14ac:dyDescent="0.25">
      <c r="C25" s="7" t="s">
        <v>42</v>
      </c>
      <c r="D25" s="7" t="s">
        <v>44</v>
      </c>
      <c r="E25" s="7" t="s">
        <v>35</v>
      </c>
      <c r="F25" s="2" t="s">
        <v>1</v>
      </c>
      <c r="G25" s="8">
        <v>150</v>
      </c>
    </row>
    <row r="26" spans="3:7" x14ac:dyDescent="0.25">
      <c r="C26" s="7" t="s">
        <v>42</v>
      </c>
      <c r="D26" s="7" t="s">
        <v>44</v>
      </c>
      <c r="E26" s="7" t="s">
        <v>35</v>
      </c>
      <c r="F26" s="2" t="s">
        <v>2</v>
      </c>
      <c r="G26" s="8">
        <v>140</v>
      </c>
    </row>
    <row r="27" spans="3:7" x14ac:dyDescent="0.25">
      <c r="C27" s="7" t="s">
        <v>42</v>
      </c>
      <c r="D27" s="7" t="s">
        <v>44</v>
      </c>
      <c r="E27" s="7" t="s">
        <v>35</v>
      </c>
      <c r="F27" s="2" t="s">
        <v>29</v>
      </c>
      <c r="G27" s="8">
        <v>185</v>
      </c>
    </row>
    <row r="28" spans="3:7" x14ac:dyDescent="0.25">
      <c r="C28" s="7" t="s">
        <v>42</v>
      </c>
      <c r="D28" s="7" t="s">
        <v>44</v>
      </c>
      <c r="E28" s="7" t="s">
        <v>35</v>
      </c>
      <c r="F28" s="2" t="s">
        <v>32</v>
      </c>
      <c r="G28" s="8">
        <v>140</v>
      </c>
    </row>
    <row r="29" spans="3:7" x14ac:dyDescent="0.25">
      <c r="C29" s="7" t="s">
        <v>42</v>
      </c>
      <c r="D29" s="7" t="s">
        <v>45</v>
      </c>
      <c r="E29" s="7" t="s">
        <v>4</v>
      </c>
      <c r="F29" s="2" t="s">
        <v>1</v>
      </c>
      <c r="G29" s="8">
        <v>1217</v>
      </c>
    </row>
    <row r="30" spans="3:7" x14ac:dyDescent="0.25">
      <c r="C30" s="7" t="s">
        <v>42</v>
      </c>
      <c r="D30" s="7" t="s">
        <v>45</v>
      </c>
      <c r="E30" s="7" t="s">
        <v>4</v>
      </c>
      <c r="F30" s="2" t="s">
        <v>2</v>
      </c>
      <c r="G30" s="8">
        <v>1131</v>
      </c>
    </row>
    <row r="31" spans="3:7" x14ac:dyDescent="0.25">
      <c r="C31" s="7" t="s">
        <v>42</v>
      </c>
      <c r="D31" s="7" t="s">
        <v>45</v>
      </c>
      <c r="E31" s="7" t="s">
        <v>4</v>
      </c>
      <c r="F31" s="2" t="s">
        <v>29</v>
      </c>
      <c r="G31" s="8">
        <v>1594</v>
      </c>
    </row>
    <row r="32" spans="3:7" x14ac:dyDescent="0.25">
      <c r="C32" s="7" t="s">
        <v>42</v>
      </c>
      <c r="D32" s="7" t="s">
        <v>45</v>
      </c>
      <c r="E32" s="7" t="s">
        <v>4</v>
      </c>
      <c r="F32" s="2" t="s">
        <v>32</v>
      </c>
      <c r="G32" s="8">
        <v>1131</v>
      </c>
    </row>
    <row r="33" spans="3:7" x14ac:dyDescent="0.25">
      <c r="C33" s="7" t="s">
        <v>42</v>
      </c>
      <c r="D33" s="7" t="s">
        <v>45</v>
      </c>
      <c r="E33" s="7" t="s">
        <v>35</v>
      </c>
      <c r="F33" s="2" t="s">
        <v>1</v>
      </c>
      <c r="G33" s="8">
        <v>113</v>
      </c>
    </row>
    <row r="34" spans="3:7" x14ac:dyDescent="0.25">
      <c r="C34" s="7" t="s">
        <v>42</v>
      </c>
      <c r="D34" s="7" t="s">
        <v>45</v>
      </c>
      <c r="E34" s="7" t="s">
        <v>35</v>
      </c>
      <c r="F34" s="2" t="s">
        <v>2</v>
      </c>
      <c r="G34" s="8">
        <v>105</v>
      </c>
    </row>
    <row r="35" spans="3:7" x14ac:dyDescent="0.25">
      <c r="C35" s="7" t="s">
        <v>42</v>
      </c>
      <c r="D35" s="7" t="s">
        <v>45</v>
      </c>
      <c r="E35" s="7" t="s">
        <v>35</v>
      </c>
      <c r="F35" s="2" t="s">
        <v>29</v>
      </c>
      <c r="G35" s="8">
        <v>148</v>
      </c>
    </row>
    <row r="36" spans="3:7" x14ac:dyDescent="0.25">
      <c r="C36" s="7" t="s">
        <v>42</v>
      </c>
      <c r="D36" s="7" t="s">
        <v>45</v>
      </c>
      <c r="E36" s="7" t="s">
        <v>35</v>
      </c>
      <c r="F36" s="2" t="s">
        <v>32</v>
      </c>
      <c r="G36" s="8">
        <v>105</v>
      </c>
    </row>
    <row r="37" spans="3:7" x14ac:dyDescent="0.25">
      <c r="C37" s="7" t="s">
        <v>43</v>
      </c>
      <c r="D37" s="7" t="s">
        <v>44</v>
      </c>
      <c r="E37" s="7" t="s">
        <v>4</v>
      </c>
      <c r="F37" s="2" t="s">
        <v>1</v>
      </c>
      <c r="G37" s="8">
        <v>1615</v>
      </c>
    </row>
    <row r="38" spans="3:7" x14ac:dyDescent="0.25">
      <c r="C38" s="7" t="s">
        <v>43</v>
      </c>
      <c r="D38" s="7" t="s">
        <v>44</v>
      </c>
      <c r="E38" s="7" t="s">
        <v>4</v>
      </c>
      <c r="F38" s="2" t="s">
        <v>2</v>
      </c>
      <c r="G38" s="8">
        <v>1507</v>
      </c>
    </row>
    <row r="39" spans="3:7" x14ac:dyDescent="0.25">
      <c r="C39" s="7" t="s">
        <v>43</v>
      </c>
      <c r="D39" s="7" t="s">
        <v>44</v>
      </c>
      <c r="E39" s="7" t="s">
        <v>4</v>
      </c>
      <c r="F39" s="2" t="s">
        <v>29</v>
      </c>
      <c r="G39" s="8">
        <v>1992</v>
      </c>
    </row>
    <row r="40" spans="3:7" x14ac:dyDescent="0.25">
      <c r="C40" s="7" t="s">
        <v>43</v>
      </c>
      <c r="D40" s="7" t="s">
        <v>44</v>
      </c>
      <c r="E40" s="7" t="s">
        <v>4</v>
      </c>
      <c r="F40" s="2" t="s">
        <v>32</v>
      </c>
      <c r="G40" s="8">
        <v>1507</v>
      </c>
    </row>
    <row r="41" spans="3:7" x14ac:dyDescent="0.25">
      <c r="C41" s="7" t="s">
        <v>43</v>
      </c>
      <c r="D41" s="7" t="s">
        <v>44</v>
      </c>
      <c r="E41" s="7" t="s">
        <v>35</v>
      </c>
      <c r="F41" s="2" t="s">
        <v>1</v>
      </c>
      <c r="G41" s="8">
        <v>150</v>
      </c>
    </row>
    <row r="42" spans="3:7" x14ac:dyDescent="0.25">
      <c r="C42" s="7" t="s">
        <v>43</v>
      </c>
      <c r="D42" s="7" t="s">
        <v>44</v>
      </c>
      <c r="E42" s="7" t="s">
        <v>35</v>
      </c>
      <c r="F42" s="2" t="s">
        <v>2</v>
      </c>
      <c r="G42" s="8">
        <v>140</v>
      </c>
    </row>
    <row r="43" spans="3:7" x14ac:dyDescent="0.25">
      <c r="C43" s="7" t="s">
        <v>43</v>
      </c>
      <c r="D43" s="7" t="s">
        <v>44</v>
      </c>
      <c r="E43" s="7" t="s">
        <v>35</v>
      </c>
      <c r="F43" s="2" t="s">
        <v>29</v>
      </c>
      <c r="G43" s="8">
        <v>185</v>
      </c>
    </row>
    <row r="44" spans="3:7" x14ac:dyDescent="0.25">
      <c r="C44" s="7" t="s">
        <v>43</v>
      </c>
      <c r="D44" s="7" t="s">
        <v>44</v>
      </c>
      <c r="E44" s="7" t="s">
        <v>35</v>
      </c>
      <c r="F44" s="2" t="s">
        <v>32</v>
      </c>
      <c r="G44" s="8">
        <v>140</v>
      </c>
    </row>
    <row r="45" spans="3:7" x14ac:dyDescent="0.25">
      <c r="C45" s="7" t="s">
        <v>43</v>
      </c>
      <c r="D45" s="7" t="s">
        <v>45</v>
      </c>
      <c r="E45" s="7" t="s">
        <v>4</v>
      </c>
      <c r="F45" s="2" t="s">
        <v>1</v>
      </c>
      <c r="G45" s="8">
        <v>1217</v>
      </c>
    </row>
    <row r="46" spans="3:7" x14ac:dyDescent="0.25">
      <c r="C46" s="7" t="s">
        <v>43</v>
      </c>
      <c r="D46" s="7" t="s">
        <v>45</v>
      </c>
      <c r="E46" s="7" t="s">
        <v>4</v>
      </c>
      <c r="F46" s="2" t="s">
        <v>2</v>
      </c>
      <c r="G46" s="8">
        <v>1131</v>
      </c>
    </row>
    <row r="47" spans="3:7" x14ac:dyDescent="0.25">
      <c r="C47" s="7" t="s">
        <v>43</v>
      </c>
      <c r="D47" s="7" t="s">
        <v>45</v>
      </c>
      <c r="E47" s="7" t="s">
        <v>4</v>
      </c>
      <c r="F47" s="2" t="s">
        <v>29</v>
      </c>
      <c r="G47" s="8">
        <v>1594</v>
      </c>
    </row>
    <row r="48" spans="3:7" x14ac:dyDescent="0.25">
      <c r="C48" s="7" t="s">
        <v>43</v>
      </c>
      <c r="D48" s="7" t="s">
        <v>45</v>
      </c>
      <c r="E48" s="7" t="s">
        <v>4</v>
      </c>
      <c r="F48" s="2" t="s">
        <v>32</v>
      </c>
      <c r="G48" s="8">
        <v>1131</v>
      </c>
    </row>
    <row r="49" spans="3:7" x14ac:dyDescent="0.25">
      <c r="C49" s="7" t="s">
        <v>43</v>
      </c>
      <c r="D49" s="7" t="s">
        <v>45</v>
      </c>
      <c r="E49" s="7" t="s">
        <v>35</v>
      </c>
      <c r="F49" s="2" t="s">
        <v>1</v>
      </c>
      <c r="G49" s="8">
        <v>113</v>
      </c>
    </row>
    <row r="50" spans="3:7" x14ac:dyDescent="0.25">
      <c r="C50" s="7" t="s">
        <v>43</v>
      </c>
      <c r="D50" s="7" t="s">
        <v>45</v>
      </c>
      <c r="E50" s="7" t="s">
        <v>35</v>
      </c>
      <c r="F50" s="2" t="s">
        <v>2</v>
      </c>
      <c r="G50" s="8">
        <v>105</v>
      </c>
    </row>
    <row r="51" spans="3:7" x14ac:dyDescent="0.25">
      <c r="C51" s="7" t="s">
        <v>43</v>
      </c>
      <c r="D51" s="7" t="s">
        <v>45</v>
      </c>
      <c r="E51" s="7" t="s">
        <v>35</v>
      </c>
      <c r="F51" s="2" t="s">
        <v>29</v>
      </c>
      <c r="G51" s="8">
        <v>148</v>
      </c>
    </row>
    <row r="52" spans="3:7" x14ac:dyDescent="0.25">
      <c r="C52" s="7" t="s">
        <v>43</v>
      </c>
      <c r="D52" s="7" t="s">
        <v>45</v>
      </c>
      <c r="E52" s="7" t="s">
        <v>35</v>
      </c>
      <c r="F52" s="2" t="s">
        <v>32</v>
      </c>
      <c r="G52" s="8">
        <v>105</v>
      </c>
    </row>
    <row r="56" spans="3:7" x14ac:dyDescent="0.25">
      <c r="C56" s="9" t="s">
        <v>22</v>
      </c>
      <c r="D56" s="9" t="s">
        <v>3</v>
      </c>
      <c r="E56" s="9" t="s">
        <v>18</v>
      </c>
    </row>
    <row r="57" spans="3:7" x14ac:dyDescent="0.25">
      <c r="C57" s="2" t="s">
        <v>19</v>
      </c>
      <c r="D57" s="7" t="s">
        <v>4</v>
      </c>
      <c r="E57" s="8">
        <v>16231.98</v>
      </c>
    </row>
    <row r="58" spans="3:7" x14ac:dyDescent="0.25">
      <c r="C58" s="2" t="s">
        <v>19</v>
      </c>
      <c r="D58" s="7" t="s">
        <v>35</v>
      </c>
      <c r="E58" s="8">
        <v>1508</v>
      </c>
      <c r="F58" s="6"/>
    </row>
    <row r="59" spans="3:7" ht="30.75" customHeight="1" x14ac:dyDescent="0.25">
      <c r="C59" s="10" t="s">
        <v>20</v>
      </c>
      <c r="D59" s="7" t="s">
        <v>4</v>
      </c>
      <c r="E59" s="8">
        <v>9988.8809999999994</v>
      </c>
      <c r="F59" s="6"/>
    </row>
    <row r="60" spans="3:7" ht="29.25" customHeight="1" x14ac:dyDescent="0.25">
      <c r="C60" s="10" t="s">
        <v>20</v>
      </c>
      <c r="D60" s="7" t="s">
        <v>35</v>
      </c>
      <c r="E60" s="8">
        <v>928</v>
      </c>
      <c r="F60" s="6"/>
    </row>
    <row r="61" spans="3:7" ht="29.25" customHeight="1" x14ac:dyDescent="0.25"/>
    <row r="62" spans="3:7" ht="29.25" customHeight="1" x14ac:dyDescent="0.25">
      <c r="C62" s="9"/>
      <c r="D62" s="9" t="s">
        <v>3</v>
      </c>
      <c r="E62" s="9" t="s">
        <v>18</v>
      </c>
    </row>
    <row r="63" spans="3:7" x14ac:dyDescent="0.25">
      <c r="C63" s="2" t="s">
        <v>21</v>
      </c>
      <c r="D63" s="7" t="s">
        <v>4</v>
      </c>
      <c r="E63" s="8">
        <v>6727.44</v>
      </c>
      <c r="F63" s="6"/>
    </row>
    <row r="64" spans="3:7" x14ac:dyDescent="0.25">
      <c r="C64" s="2" t="s">
        <v>21</v>
      </c>
      <c r="D64" s="7" t="s">
        <v>35</v>
      </c>
      <c r="E64" s="8">
        <v>625</v>
      </c>
      <c r="F64" s="6"/>
    </row>
    <row r="65" spans="6:6" x14ac:dyDescent="0.25">
      <c r="F65" s="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ADM-19 - Operating Projects" ma:contentTypeID="0x01010010A799D5E455D045AA80D7A5AC77508100E2F59736D94F594EAE4961F29C5263B00051E04E209D65CD4EB0A3F2B7317A59E2" ma:contentTypeVersion="8" ma:contentTypeDescription="" ma:contentTypeScope="" ma:versionID="0d6ce626cb25cf8b6a78a7f0f66ebd9e">
  <xsd:schema xmlns:xsd="http://www.w3.org/2001/XMLSchema" xmlns:xs="http://www.w3.org/2001/XMLSchema" xmlns:p="http://schemas.microsoft.com/office/2006/metadata/properties" xmlns:ns2="10f73dd7-88ff-4daa-b4bc-2ea9b5629bbb" xmlns:ns3="de0f2b64-4549-4908-bf5b-d53442cc18b1" targetNamespace="http://schemas.microsoft.com/office/2006/metadata/properties" ma:root="true" ma:fieldsID="113886aba82209baa30f48fb7f1433b3" ns2:_="" ns3:_="">
    <xsd:import namespace="10f73dd7-88ff-4daa-b4bc-2ea9b5629bbb"/>
    <xsd:import namespace="de0f2b64-4549-4908-bf5b-d53442cc18b1"/>
    <xsd:element name="properties">
      <xsd:complexType>
        <xsd:sequence>
          <xsd:element name="documentManagement">
            <xsd:complexType>
              <xsd:all>
                <xsd:element ref="ns2:ProjectEndDate" minOccurs="0"/>
                <xsd:element ref="ns2:Topic"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f73dd7-88ff-4daa-b4bc-2ea9b5629bbb" elementFormDefault="qualified">
    <xsd:import namespace="http://schemas.microsoft.com/office/2006/documentManagement/types"/>
    <xsd:import namespace="http://schemas.microsoft.com/office/infopath/2007/PartnerControls"/>
    <xsd:element name="ProjectEndDate" ma:index="8" nillable="true" ma:displayName="Project End Date" ma:format="DateOnly" ma:indexed="true" ma:internalName="ProjectEndDate">
      <xsd:simpleType>
        <xsd:restriction base="dms:DateTime"/>
      </xsd:simpleType>
    </xsd:element>
    <xsd:element name="Topic" ma:index="10" nillable="true" ma:displayName="Topic" ma:default="" ma:indexed="true" ma:internalName="Topi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e0f2b64-4549-4908-bf5b-d53442cc18b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b82b215-ed66-4f0b-8fb3-45daf12c21b1" ContentTypeId="0x01010010A799D5E455D045AA80D7A5AC77508100E2F59736D94F594EAE4961F29C5263B0" PreviousValue="false" LastSyncTimeStamp="2025-09-01T15:51:42.397Z"/>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ojectEndDate xmlns="10f73dd7-88ff-4daa-b4bc-2ea9b5629bbb" xsi:nil="true"/>
    <Topic xmlns="10f73dd7-88ff-4daa-b4bc-2ea9b5629bbb" xsi:nil="true"/>
  </documentManagement>
</p:properties>
</file>

<file path=customXml/itemProps1.xml><?xml version="1.0" encoding="utf-8"?>
<ds:datastoreItem xmlns:ds="http://schemas.openxmlformats.org/officeDocument/2006/customXml" ds:itemID="{EB96AD97-50F2-4BC9-9412-82A156C7BC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f73dd7-88ff-4daa-b4bc-2ea9b5629bbb"/>
    <ds:schemaRef ds:uri="de0f2b64-4549-4908-bf5b-d53442cc18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98ABD04-4FE3-422D-8788-E88A95800C4A}">
  <ds:schemaRefs>
    <ds:schemaRef ds:uri="Microsoft.SharePoint.Taxonomy.ContentTypeSync"/>
  </ds:schemaRefs>
</ds:datastoreItem>
</file>

<file path=customXml/itemProps3.xml><?xml version="1.0" encoding="utf-8"?>
<ds:datastoreItem xmlns:ds="http://schemas.openxmlformats.org/officeDocument/2006/customXml" ds:itemID="{4024A54F-4709-4D4F-B3ED-EC0624A892EB}">
  <ds:schemaRefs>
    <ds:schemaRef ds:uri="http://schemas.microsoft.com/sharepoint/v3/contenttype/forms"/>
  </ds:schemaRefs>
</ds:datastoreItem>
</file>

<file path=customXml/itemProps4.xml><?xml version="1.0" encoding="utf-8"?>
<ds:datastoreItem xmlns:ds="http://schemas.openxmlformats.org/officeDocument/2006/customXml" ds:itemID="{F12FEAB3-C67C-4F99-A3EB-4F4593386001}">
  <ds:schemaRefs>
    <ds:schemaRef ds:uri="http://purl.org/dc/terms/"/>
    <ds:schemaRef ds:uri="de0f2b64-4549-4908-bf5b-d53442cc18b1"/>
    <ds:schemaRef ds:uri="http://schemas.microsoft.com/office/2006/documentManagement/types"/>
    <ds:schemaRef ds:uri="http://schemas.openxmlformats.org/package/2006/metadata/core-properties"/>
    <ds:schemaRef ds:uri="http://purl.org/dc/elements/1.1/"/>
    <ds:schemaRef ds:uri="10f73dd7-88ff-4daa-b4bc-2ea9b5629bbb"/>
    <ds:schemaRef ds:uri="http://purl.org/dc/dcmitype/"/>
    <ds:schemaRef ds:uri="http://www.w3.org/XML/1998/namespace"/>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Sq ft vs Sq m</vt:lpstr>
      <vt:lpstr>Disclaimer</vt:lpstr>
      <vt:lpstr>User Guide</vt:lpstr>
      <vt:lpstr>Calculator</vt:lpstr>
      <vt:lpstr>Reverse</vt:lpstr>
      <vt:lpstr>Data Validation</vt:lpstr>
      <vt:lpstr>breakeven</vt:lpstr>
      <vt:lpstr>Rates</vt:lpstr>
      <vt:lpstr>Calculator!Print_Area</vt:lpstr>
      <vt:lpstr>Reverse!Print_Area</vt:lpstr>
      <vt:lpstr>'Sq ft vs Sq 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Vesik, Karina</dc:creator>
  <cp:lastModifiedBy>Vesik, Karina</cp:lastModifiedBy>
  <cp:lastPrinted>2026-01-22T00:09:14Z</cp:lastPrinted>
  <dcterms:created xsi:type="dcterms:W3CDTF">2025-12-01T22:36:17Z</dcterms:created>
  <dcterms:modified xsi:type="dcterms:W3CDTF">2026-04-21T15:32:01Z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0x01010010A799D5E455D045AA80D7A5AC77508100E2F59736D94F594EAE4961F29C5263B00051E04E209D65CD4EB0A3F2B7317A59E2</vt:lpwstr>
  </property>
  <property fmtid="{D5CDD505-2E9C-101B-9397-08002B2CF9AE}" pid="3" name="DocumentSetDescription">
    <vt:lpwstr/>
  </property>
  <property fmtid="{D5CDD505-2E9C-101B-9397-08002B2CF9AE}" pid="4" name="_ExtendedDescription">
    <vt:lpwstr/>
  </property>
</Properties>
</file>